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85" windowHeight="8460" activeTab="1"/>
  </bookViews>
  <sheets>
    <sheet name="Informacion" sheetId="1" r:id="rId1"/>
    <sheet name="Liquidacion" sheetId="2" r:id="rId2"/>
    <sheet name="Tablas" sheetId="3" r:id="rId3"/>
  </sheets>
  <definedNames/>
  <calcPr fullCalcOnLoad="1"/>
</workbook>
</file>

<file path=xl/sharedStrings.xml><?xml version="1.0" encoding="utf-8"?>
<sst xmlns="http://schemas.openxmlformats.org/spreadsheetml/2006/main" count="175" uniqueCount="101">
  <si>
    <t>Sueldo Bruto</t>
  </si>
  <si>
    <t>Adicional Zona Desfavorable</t>
  </si>
  <si>
    <t>Título Secundario</t>
  </si>
  <si>
    <t>Comisiones por Ventas</t>
  </si>
  <si>
    <t>REMUNERACIONES HABITUALES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</si>
  <si>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</si>
  <si>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</si>
  <si>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</si>
  <si>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</si>
  <si>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</si>
  <si>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</si>
  <si>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</si>
  <si>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</si>
  <si>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</si>
  <si>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</si>
  <si>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</si>
  <si>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</si>
  <si>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Movilidad</t>
  </si>
  <si>
    <t>Sub-total Remuneraciones Habituales</t>
  </si>
  <si>
    <t>REMUNERACIONES NO HABITUALES</t>
  </si>
  <si>
    <t>Gratificacion Anual</t>
  </si>
  <si>
    <t>b) INSSJP 3%</t>
  </si>
  <si>
    <t>c) Obra Social 3%</t>
  </si>
  <si>
    <t>Sub-total Deducciones Generales</t>
  </si>
  <si>
    <t>GANANCIA NETA ACUMULADA</t>
  </si>
  <si>
    <t>…</t>
  </si>
  <si>
    <t>DEDUCCIONES GENERALES incisos:</t>
  </si>
  <si>
    <t>e) Gastos de Sepelio</t>
  </si>
  <si>
    <t>DEDUCCIONES Art. 23</t>
  </si>
  <si>
    <t>Ganancia No Imponible</t>
  </si>
  <si>
    <t>Conyuge</t>
  </si>
  <si>
    <t>Cónyuge</t>
  </si>
  <si>
    <t>Hijos</t>
  </si>
  <si>
    <t>Deduccion Especial</t>
  </si>
  <si>
    <t>Total Deducciones Art. 23</t>
  </si>
  <si>
    <t>DEDUCCIONES Art. 23 Computables</t>
  </si>
  <si>
    <t>SAC 1º Semestre</t>
  </si>
  <si>
    <t>SAC 2º Semestre</t>
  </si>
  <si>
    <t>Sí</t>
  </si>
  <si>
    <t>Madre</t>
  </si>
  <si>
    <t>Padre</t>
  </si>
  <si>
    <t>%</t>
  </si>
  <si>
    <t>Reducciones sobre el Total de las Deducciones Acumuladas Desde cada importe</t>
  </si>
  <si>
    <t>Sub-total</t>
  </si>
  <si>
    <t>Alícuota y Fijo del Impuesto a las Ganncias por Tramos Acumulados</t>
  </si>
  <si>
    <t>Deducciones Anuales Art. 23</t>
  </si>
  <si>
    <t>Ganancia Acumulada Sujeta a Impuesto</t>
  </si>
  <si>
    <t>Retención Acumulada del Impuesto</t>
  </si>
  <si>
    <t>Fijo</t>
  </si>
  <si>
    <t>Total A Retener en el mes</t>
  </si>
  <si>
    <t>Sub-total Remuneraciones No Habituales</t>
  </si>
  <si>
    <t>Desde</t>
  </si>
  <si>
    <t>Jubilacion 11%</t>
  </si>
  <si>
    <t>INSSJP 3%</t>
  </si>
  <si>
    <t>Obra Social 3%</t>
  </si>
  <si>
    <t>Tope Anual para deducciones por Seguro de Vida</t>
  </si>
  <si>
    <t>Tope Anual para deducciones por Gastos de Sepelio</t>
  </si>
  <si>
    <t>Tope Anual para deducciones por planes de seguro de retiro privados</t>
  </si>
  <si>
    <t>Tope en porcentaje para Cuota Medico-asistencial</t>
  </si>
  <si>
    <t>Tope en porcentaje para Facturacion por Asistencia Sanitaria</t>
  </si>
  <si>
    <t>Tope en porcentaje del máximo a deducir por Asistencia Sanitaria</t>
  </si>
  <si>
    <t>Tope en porcentaje del máximo a deducir por Donaciones</t>
  </si>
  <si>
    <t>Tope en porcentaje del aumento de la Deduccion Especial</t>
  </si>
  <si>
    <t>d) Prima Seguro Vida</t>
  </si>
  <si>
    <t>Hasta</t>
  </si>
  <si>
    <t>………………………………………………</t>
  </si>
  <si>
    <t>……………………………………………..</t>
  </si>
  <si>
    <t>Otros</t>
  </si>
  <si>
    <t>No</t>
  </si>
  <si>
    <t>Padres y otros</t>
  </si>
  <si>
    <t>FAMILIARES A CARGO</t>
  </si>
  <si>
    <t>Se aplica Reduccion Deducciones Art. 23</t>
  </si>
  <si>
    <t>Incidencia de las Deducciones</t>
  </si>
  <si>
    <t>INFORMACION PARA LIQUIDACION DE GANANCIAS DE CUARTA CATEGORIA</t>
  </si>
  <si>
    <t>Topes para el Calculo de las Deducciones</t>
  </si>
  <si>
    <t>Seguro de Retiro Privado</t>
  </si>
  <si>
    <t>Cuota Medico-asistencial</t>
  </si>
  <si>
    <t>Asistencia Sanitaria</t>
  </si>
  <si>
    <t>Donaciones</t>
  </si>
  <si>
    <t>DEDUCCIONES GENERALES Anuales</t>
  </si>
  <si>
    <t>REMUNERACIONES NO HABITUALES Anuales</t>
  </si>
  <si>
    <t>TOTAL GRAVADO</t>
  </si>
  <si>
    <t>Asistencia Sanitaria (40% de lo Facturado)</t>
  </si>
  <si>
    <t>Sub-total Ganancia Neta</t>
  </si>
  <si>
    <t>LIQUIDACION DE GANANCIAS DE CUARTA CATEGORIA</t>
  </si>
  <si>
    <t>Año</t>
  </si>
  <si>
    <t>*** Modificando los totales Acumulados de Diciembre se actualizará automátimamente el resto de los meses</t>
  </si>
  <si>
    <t>*** Los datos en color azul son modificables e influyen en el cálculo del impuesto</t>
  </si>
  <si>
    <t>***Si se omiten se calcularán automáticamente</t>
  </si>
  <si>
    <t>SAC Correspondiente al 1º Semestre</t>
  </si>
  <si>
    <t>SAC Correspondiente al 2º Semestre</t>
  </si>
  <si>
    <t>SAC Determinado para cada Semestre</t>
  </si>
  <si>
    <t>DEDUCCIONES GENERALES (ingresar estos importes solo en caso de que sean diferentes al calculado automáticamente en liquidación)</t>
  </si>
  <si>
    <t>Sindicato</t>
  </si>
  <si>
    <t>a) Jubilacion 11%</t>
  </si>
  <si>
    <t>Cuota Sindical</t>
  </si>
  <si>
    <t>Saldos a favor</t>
  </si>
  <si>
    <t xml:space="preserve">Donaciones </t>
  </si>
  <si>
    <t>Mar - Dic</t>
  </si>
  <si>
    <t>ATENCIÓN</t>
  </si>
  <si>
    <t>Cargas de familia, si se produjera alguna alta o baja de carga de familia durante el año, deberá hacerse una inclusión manual en el mes de alta o una eliminación de los valores posteriores al mes de baja, en caso de corresponder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</si>
</sst>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A]dddd\,\ dd&quot; de &quot;mmmm&quot; de &quot;yyyy"/>
    <numFmt numFmtId="173" formatCode="mmm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4"/>
      <color indexed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10" fontId="0" fillId="0" borderId="18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7" xfId="0" applyFill="1" applyBorder="1" applyAlignment="1">
      <alignment/>
    </xf>
    <xf numFmtId="0" fontId="1" fillId="0" borderId="26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3" xfId="0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0" borderId="17" xfId="0" applyBorder="1" applyAlignment="1">
      <alignment/>
    </xf>
    <xf numFmtId="10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26" xfId="0" applyFont="1" applyFill="1" applyBorder="1" applyAlignment="1">
      <alignment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0" fontId="0" fillId="0" borderId="26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11" xfId="0" applyNumberFormat="1" applyBorder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10" fontId="10" fillId="0" borderId="34" xfId="0" applyNumberFormat="1" applyFont="1" applyBorder="1" applyAlignment="1" applyProtection="1">
      <alignment/>
      <protection locked="0"/>
    </xf>
    <xf numFmtId="10" fontId="10" fillId="0" borderId="35" xfId="0" applyNumberFormat="1" applyFont="1" applyBorder="1" applyAlignment="1" applyProtection="1">
      <alignment/>
      <protection locked="0"/>
    </xf>
    <xf numFmtId="10" fontId="10" fillId="0" borderId="36" xfId="0" applyNumberFormat="1" applyFont="1" applyBorder="1" applyAlignment="1" applyProtection="1">
      <alignment/>
      <protection locked="0"/>
    </xf>
    <xf numFmtId="2" fontId="10" fillId="0" borderId="11" xfId="0" applyNumberFormat="1" applyFont="1" applyBorder="1" applyAlignment="1" applyProtection="1">
      <alignment/>
      <protection locked="0"/>
    </xf>
    <xf numFmtId="10" fontId="10" fillId="0" borderId="11" xfId="0" applyNumberFormat="1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27" xfId="0" applyNumberFormat="1" applyFont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4" fontId="0" fillId="0" borderId="31" xfId="0" applyNumberForma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27" xfId="0" applyNumberFormat="1" applyFont="1" applyBorder="1" applyAlignment="1" applyProtection="1">
      <alignment/>
      <protection/>
    </xf>
    <xf numFmtId="0" fontId="0" fillId="32" borderId="26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2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23" xfId="0" applyNumberForma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14" fontId="10" fillId="0" borderId="27" xfId="0" applyNumberFormat="1" applyFont="1" applyBorder="1" applyAlignment="1" applyProtection="1">
      <alignment/>
      <protection locked="0"/>
    </xf>
    <xf numFmtId="14" fontId="10" fillId="0" borderId="30" xfId="0" applyNumberFormat="1" applyFont="1" applyBorder="1" applyAlignment="1" applyProtection="1">
      <alignment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14" fontId="10" fillId="0" borderId="23" xfId="0" applyNumberFormat="1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2" fontId="10" fillId="0" borderId="32" xfId="0" applyNumberFormat="1" applyFont="1" applyBorder="1" applyAlignment="1" applyProtection="1">
      <alignment/>
      <protection locked="0"/>
    </xf>
    <xf numFmtId="0" fontId="12" fillId="0" borderId="37" xfId="0" applyFont="1" applyBorder="1" applyAlignment="1">
      <alignment/>
    </xf>
    <xf numFmtId="2" fontId="10" fillId="0" borderId="11" xfId="0" applyNumberFormat="1" applyFon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center"/>
      <protection/>
    </xf>
    <xf numFmtId="0" fontId="1" fillId="32" borderId="39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33</xdr:row>
      <xdr:rowOff>38100</xdr:rowOff>
    </xdr:from>
    <xdr:to>
      <xdr:col>12</xdr:col>
      <xdr:colOff>542925</xdr:colOff>
      <xdr:row>35</xdr:row>
      <xdr:rowOff>161925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5572125"/>
          <a:ext cx="1581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55</xdr:row>
      <xdr:rowOff>142875</xdr:rowOff>
    </xdr:from>
    <xdr:to>
      <xdr:col>11</xdr:col>
      <xdr:colOff>552450</xdr:colOff>
      <xdr:row>58</xdr:row>
      <xdr:rowOff>114300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591550"/>
          <a:ext cx="1581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31</xdr:row>
      <xdr:rowOff>47625</xdr:rowOff>
    </xdr:from>
    <xdr:to>
      <xdr:col>13</xdr:col>
      <xdr:colOff>676275</xdr:colOff>
      <xdr:row>33</xdr:row>
      <xdr:rowOff>76200</xdr:rowOff>
    </xdr:to>
    <xdr:pic>
      <xdr:nvPicPr>
        <xdr:cNvPr id="1" name="Picture 1" descr="R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5581650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85" zoomScaleNormal="85" zoomScalePageLayoutView="0" workbookViewId="0" topLeftCell="A7">
      <selection activeCell="J43" sqref="J43"/>
    </sheetView>
  </sheetViews>
  <sheetFormatPr defaultColWidth="11.421875" defaultRowHeight="12.75"/>
  <cols>
    <col min="1" max="1" width="35.421875" style="66" customWidth="1"/>
    <col min="2" max="2" width="10.00390625" style="66" customWidth="1"/>
    <col min="3" max="3" width="10.140625" style="66" customWidth="1"/>
    <col min="4" max="4" width="11.421875" style="66" customWidth="1"/>
    <col min="5" max="8" width="10.28125" style="66" customWidth="1"/>
    <col min="9" max="9" width="12.00390625" style="66" customWidth="1"/>
    <col min="10" max="10" width="10.28125" style="66" customWidth="1"/>
    <col min="11" max="11" width="11.28125" style="66" customWidth="1"/>
    <col min="12" max="13" width="10.28125" style="66" customWidth="1"/>
    <col min="14" max="16384" width="11.421875" style="66" customWidth="1"/>
  </cols>
  <sheetData>
    <row r="1" spans="1:11" ht="18.75">
      <c r="A1" s="53"/>
      <c r="B1" s="112" t="s">
        <v>73</v>
      </c>
      <c r="C1" s="112"/>
      <c r="D1" s="112"/>
      <c r="E1" s="112"/>
      <c r="F1" s="112"/>
      <c r="G1" s="112"/>
      <c r="H1" s="112"/>
      <c r="I1" s="112"/>
      <c r="J1" s="112"/>
      <c r="K1" s="112"/>
    </row>
    <row r="2" ht="13.5" thickBot="1"/>
    <row r="3" spans="1:13" ht="12.75">
      <c r="A3" s="67"/>
      <c r="B3" s="68" t="s">
        <v>5</v>
      </c>
      <c r="C3" s="69" t="s">
        <v>6</v>
      </c>
      <c r="D3" s="69" t="s">
        <v>7</v>
      </c>
      <c r="E3" s="69" t="s">
        <v>8</v>
      </c>
      <c r="F3" s="69" t="s">
        <v>9</v>
      </c>
      <c r="G3" s="69" t="s">
        <v>10</v>
      </c>
      <c r="H3" s="69" t="s">
        <v>11</v>
      </c>
      <c r="I3" s="69" t="s">
        <v>12</v>
      </c>
      <c r="J3" s="69" t="s">
        <v>13</v>
      </c>
      <c r="K3" s="69" t="s">
        <v>14</v>
      </c>
      <c r="L3" s="109" t="s">
        <v>15</v>
      </c>
      <c r="M3" s="110" t="s">
        <v>16</v>
      </c>
    </row>
    <row r="4" spans="1:13" ht="12.75">
      <c r="A4" s="70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73"/>
    </row>
    <row r="5" spans="1:13" ht="12.75">
      <c r="A5" s="62" t="s">
        <v>0</v>
      </c>
      <c r="B5" s="63">
        <v>15000</v>
      </c>
      <c r="C5" s="63">
        <v>15000</v>
      </c>
      <c r="D5" s="63">
        <v>15000</v>
      </c>
      <c r="E5" s="63">
        <v>15000</v>
      </c>
      <c r="F5" s="63">
        <v>15000</v>
      </c>
      <c r="G5" s="63">
        <v>15000</v>
      </c>
      <c r="H5" s="63">
        <v>15000</v>
      </c>
      <c r="I5" s="63">
        <v>15000</v>
      </c>
      <c r="J5" s="63">
        <v>15000</v>
      </c>
      <c r="K5" s="63">
        <v>15000</v>
      </c>
      <c r="L5" s="63">
        <v>15000</v>
      </c>
      <c r="M5" s="64">
        <v>15000</v>
      </c>
    </row>
    <row r="6" spans="1:13" ht="12.75">
      <c r="A6" s="62" t="s">
        <v>1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4">
        <v>0</v>
      </c>
    </row>
    <row r="7" spans="1:13" ht="12.75">
      <c r="A7" s="62" t="s">
        <v>2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4">
        <v>0</v>
      </c>
    </row>
    <row r="8" spans="1:13" ht="12.75">
      <c r="A8" s="62" t="s">
        <v>3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4">
        <v>0</v>
      </c>
    </row>
    <row r="9" spans="1:13" ht="12.75">
      <c r="A9" s="62" t="s">
        <v>17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4">
        <v>0</v>
      </c>
    </row>
    <row r="10" spans="1:13" ht="12.75">
      <c r="A10" s="65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</row>
    <row r="11" spans="1:13" ht="12.75">
      <c r="A11" s="65" t="s">
        <v>25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1:13" ht="12.75">
      <c r="A12" s="48" t="s">
        <v>18</v>
      </c>
      <c r="B12" s="74">
        <f>SUM(B5:B11)</f>
        <v>15000</v>
      </c>
      <c r="C12" s="74">
        <f aca="true" t="shared" si="0" ref="C12:K12">SUM(C5:C11)</f>
        <v>15000</v>
      </c>
      <c r="D12" s="74">
        <f t="shared" si="0"/>
        <v>15000</v>
      </c>
      <c r="E12" s="74">
        <f t="shared" si="0"/>
        <v>15000</v>
      </c>
      <c r="F12" s="74">
        <f t="shared" si="0"/>
        <v>15000</v>
      </c>
      <c r="G12" s="74">
        <f t="shared" si="0"/>
        <v>15000</v>
      </c>
      <c r="H12" s="74">
        <f t="shared" si="0"/>
        <v>15000</v>
      </c>
      <c r="I12" s="74">
        <f t="shared" si="0"/>
        <v>15000</v>
      </c>
      <c r="J12" s="74">
        <f t="shared" si="0"/>
        <v>15000</v>
      </c>
      <c r="K12" s="74">
        <f t="shared" si="0"/>
        <v>15000</v>
      </c>
      <c r="L12" s="74">
        <f>SUM(L5:L11)</f>
        <v>15000</v>
      </c>
      <c r="M12" s="75">
        <f>SUM(M5:M11)</f>
        <v>15000</v>
      </c>
    </row>
    <row r="13" spans="1:13" ht="12.7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12.75">
      <c r="A14" s="89" t="s">
        <v>92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4" ht="12.75">
      <c r="A15" s="62" t="s">
        <v>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79"/>
    </row>
    <row r="16" spans="1:13" ht="12.75">
      <c r="A16" s="62" t="s">
        <v>53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2.75">
      <c r="A17" s="62" t="s">
        <v>54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12.75">
      <c r="A18" s="62" t="s">
        <v>95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2.75">
      <c r="A19" s="48" t="s">
        <v>23</v>
      </c>
      <c r="B19" s="74">
        <f>SUM(B15:B17)</f>
        <v>0</v>
      </c>
      <c r="C19" s="74">
        <f aca="true" t="shared" si="1" ref="C19:L19">SUM(C15:C17)</f>
        <v>0</v>
      </c>
      <c r="D19" s="74">
        <f t="shared" si="1"/>
        <v>0</v>
      </c>
      <c r="E19" s="74">
        <f t="shared" si="1"/>
        <v>0</v>
      </c>
      <c r="F19" s="74">
        <f t="shared" si="1"/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74">
        <f t="shared" si="1"/>
        <v>0</v>
      </c>
      <c r="K19" s="74">
        <f t="shared" si="1"/>
        <v>0</v>
      </c>
      <c r="L19" s="74">
        <f t="shared" si="1"/>
        <v>0</v>
      </c>
      <c r="M19" s="75">
        <f>SUM(M15:M17)</f>
        <v>0</v>
      </c>
    </row>
    <row r="20" spans="1:13" ht="12.7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ht="13.5" thickBot="1">
      <c r="A21" s="80" t="s">
        <v>71</v>
      </c>
      <c r="B21" s="92" t="s">
        <v>68</v>
      </c>
      <c r="C21" s="92" t="s">
        <v>68</v>
      </c>
      <c r="D21" s="92" t="s">
        <v>68</v>
      </c>
      <c r="E21" s="92" t="s">
        <v>68</v>
      </c>
      <c r="F21" s="92" t="s">
        <v>68</v>
      </c>
      <c r="G21" s="92" t="s">
        <v>68</v>
      </c>
      <c r="H21" s="92" t="s">
        <v>68</v>
      </c>
      <c r="I21" s="92" t="s">
        <v>68</v>
      </c>
      <c r="J21" s="92" t="s">
        <v>68</v>
      </c>
      <c r="K21" s="92" t="s">
        <v>68</v>
      </c>
      <c r="L21" s="92" t="s">
        <v>68</v>
      </c>
      <c r="M21" s="93" t="s">
        <v>68</v>
      </c>
    </row>
    <row r="22" ht="13.5" thickBot="1"/>
    <row r="23" spans="1:10" ht="13.5" thickBot="1">
      <c r="A23" s="113" t="s">
        <v>80</v>
      </c>
      <c r="B23" s="114"/>
      <c r="C23" s="114"/>
      <c r="D23" s="115"/>
      <c r="F23" s="113" t="s">
        <v>91</v>
      </c>
      <c r="G23" s="114"/>
      <c r="H23" s="114"/>
      <c r="I23" s="114"/>
      <c r="J23" s="115"/>
    </row>
    <row r="24" spans="1:13" ht="14.25">
      <c r="A24" s="62" t="s">
        <v>20</v>
      </c>
      <c r="B24" s="90">
        <v>0</v>
      </c>
      <c r="C24" s="81" t="s">
        <v>51</v>
      </c>
      <c r="D24" s="94">
        <v>41275</v>
      </c>
      <c r="E24" s="79"/>
      <c r="F24" s="99" t="s">
        <v>89</v>
      </c>
      <c r="G24" s="85"/>
      <c r="H24" s="85"/>
      <c r="I24" s="85"/>
      <c r="J24" s="102"/>
      <c r="L24" s="79"/>
      <c r="M24" s="79"/>
    </row>
    <row r="25" spans="1:13" ht="14.25">
      <c r="A25" s="62" t="s">
        <v>66</v>
      </c>
      <c r="B25" s="63"/>
      <c r="C25" s="82" t="s">
        <v>51</v>
      </c>
      <c r="D25" s="94"/>
      <c r="E25" s="79"/>
      <c r="F25" s="100" t="s">
        <v>90</v>
      </c>
      <c r="G25" s="72"/>
      <c r="H25" s="72"/>
      <c r="I25" s="72"/>
      <c r="J25" s="64"/>
      <c r="L25" s="79"/>
      <c r="M25" s="79"/>
    </row>
    <row r="26" spans="1:13" ht="13.5" thickBot="1">
      <c r="A26" s="62" t="s">
        <v>65</v>
      </c>
      <c r="B26" s="63"/>
      <c r="C26" s="82" t="s">
        <v>51</v>
      </c>
      <c r="D26" s="94"/>
      <c r="E26" s="84"/>
      <c r="F26" s="116" t="s">
        <v>88</v>
      </c>
      <c r="G26" s="117"/>
      <c r="H26" s="117"/>
      <c r="I26" s="117"/>
      <c r="J26" s="118"/>
      <c r="L26" s="84"/>
      <c r="M26" s="84"/>
    </row>
    <row r="27" spans="1:4" ht="13.5" thickBot="1">
      <c r="A27" s="85"/>
      <c r="B27" s="85"/>
      <c r="C27" s="85"/>
      <c r="D27" s="85"/>
    </row>
    <row r="28" spans="1:11" ht="13.5" thickBot="1">
      <c r="A28" s="113" t="s">
        <v>79</v>
      </c>
      <c r="B28" s="114"/>
      <c r="C28" s="114"/>
      <c r="D28" s="115"/>
      <c r="F28" s="113" t="s">
        <v>70</v>
      </c>
      <c r="G28" s="114"/>
      <c r="H28" s="114"/>
      <c r="I28" s="114"/>
      <c r="J28" s="114"/>
      <c r="K28" s="115"/>
    </row>
    <row r="29" spans="1:11" ht="12.75">
      <c r="A29" s="83" t="s">
        <v>63</v>
      </c>
      <c r="B29" s="90">
        <v>0</v>
      </c>
      <c r="C29" s="81" t="s">
        <v>51</v>
      </c>
      <c r="D29" s="94">
        <v>41275</v>
      </c>
      <c r="E29" s="87"/>
      <c r="F29" s="48" t="s">
        <v>31</v>
      </c>
      <c r="G29" s="90" t="s">
        <v>38</v>
      </c>
      <c r="H29" s="81" t="s">
        <v>51</v>
      </c>
      <c r="I29" s="96">
        <v>41275</v>
      </c>
      <c r="J29" s="81" t="s">
        <v>64</v>
      </c>
      <c r="K29" s="94">
        <v>41639</v>
      </c>
    </row>
    <row r="30" spans="1:11" ht="12.75">
      <c r="A30" s="83" t="s">
        <v>27</v>
      </c>
      <c r="B30" s="90">
        <v>0</v>
      </c>
      <c r="C30" s="82" t="s">
        <v>51</v>
      </c>
      <c r="D30" s="94">
        <v>41275</v>
      </c>
      <c r="E30" s="87"/>
      <c r="F30" s="48" t="s">
        <v>32</v>
      </c>
      <c r="G30" s="90">
        <v>0</v>
      </c>
      <c r="H30" s="81" t="s">
        <v>51</v>
      </c>
      <c r="I30" s="96">
        <v>41275</v>
      </c>
      <c r="J30" s="81" t="s">
        <v>64</v>
      </c>
      <c r="K30" s="94">
        <v>41639</v>
      </c>
    </row>
    <row r="31" spans="1:11" ht="12.75">
      <c r="A31" s="83" t="s">
        <v>75</v>
      </c>
      <c r="B31" s="90">
        <v>0</v>
      </c>
      <c r="C31" s="82" t="s">
        <v>51</v>
      </c>
      <c r="D31" s="94">
        <v>41275</v>
      </c>
      <c r="E31" s="87"/>
      <c r="F31" s="48" t="s">
        <v>39</v>
      </c>
      <c r="G31" s="90" t="s">
        <v>68</v>
      </c>
      <c r="H31" s="81" t="s">
        <v>51</v>
      </c>
      <c r="I31" s="96">
        <v>41275</v>
      </c>
      <c r="J31" s="81" t="s">
        <v>64</v>
      </c>
      <c r="K31" s="94">
        <v>41639</v>
      </c>
    </row>
    <row r="32" spans="1:11" ht="12.75">
      <c r="A32" s="48" t="s">
        <v>76</v>
      </c>
      <c r="B32" s="90">
        <v>5197</v>
      </c>
      <c r="C32" s="82" t="s">
        <v>51</v>
      </c>
      <c r="D32" s="94">
        <v>41275</v>
      </c>
      <c r="F32" s="48" t="s">
        <v>40</v>
      </c>
      <c r="G32" s="90" t="s">
        <v>68</v>
      </c>
      <c r="H32" s="81" t="s">
        <v>51</v>
      </c>
      <c r="I32" s="96">
        <v>41275</v>
      </c>
      <c r="J32" s="81" t="s">
        <v>64</v>
      </c>
      <c r="K32" s="94">
        <v>41639</v>
      </c>
    </row>
    <row r="33" spans="1:11" ht="13.5" thickBot="1">
      <c r="A33" s="48" t="s">
        <v>82</v>
      </c>
      <c r="B33" s="90">
        <v>0</v>
      </c>
      <c r="C33" s="82" t="s">
        <v>51</v>
      </c>
      <c r="D33" s="94">
        <v>41275</v>
      </c>
      <c r="F33" s="80" t="s">
        <v>67</v>
      </c>
      <c r="G33" s="98">
        <v>0</v>
      </c>
      <c r="H33" s="86" t="s">
        <v>51</v>
      </c>
      <c r="I33" s="97">
        <v>41275</v>
      </c>
      <c r="J33" s="86" t="s">
        <v>64</v>
      </c>
      <c r="K33" s="95">
        <v>41639</v>
      </c>
    </row>
    <row r="34" spans="1:4" ht="13.5" thickBot="1">
      <c r="A34" s="80" t="s">
        <v>97</v>
      </c>
      <c r="B34" s="98">
        <v>0</v>
      </c>
      <c r="C34" s="88" t="s">
        <v>51</v>
      </c>
      <c r="D34" s="95">
        <v>41275</v>
      </c>
    </row>
    <row r="36" ht="15">
      <c r="A36" s="54" t="s">
        <v>87</v>
      </c>
    </row>
  </sheetData>
  <sheetProtection/>
  <mergeCells count="6">
    <mergeCell ref="B1:K1"/>
    <mergeCell ref="A23:D23"/>
    <mergeCell ref="F28:K28"/>
    <mergeCell ref="A28:D28"/>
    <mergeCell ref="F23:J23"/>
    <mergeCell ref="F26:J26"/>
  </mergeCells>
  <dataValidations count="1">
    <dataValidation type="list" allowBlank="1" showInputMessage="1" showErrorMessage="1" sqref="G29 B21:M21 G31:G32">
      <formula1>"Sí,No"</formula1>
    </dataValidation>
  </dataValidations>
  <printOptions/>
  <pageMargins left="0.75" right="0.75" top="1" bottom="1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" sqref="N4"/>
    </sheetView>
  </sheetViews>
  <sheetFormatPr defaultColWidth="11.421875" defaultRowHeight="12.75"/>
  <cols>
    <col min="1" max="1" width="35.7109375" style="0" customWidth="1"/>
    <col min="2" max="3" width="10.00390625" style="0" customWidth="1"/>
    <col min="4" max="6" width="10.421875" style="0" customWidth="1"/>
    <col min="7" max="9" width="9.7109375" style="0" bestFit="1" customWidth="1"/>
    <col min="10" max="10" width="13.28125" style="0" bestFit="1" customWidth="1"/>
    <col min="11" max="11" width="9.7109375" style="0" bestFit="1" customWidth="1"/>
    <col min="12" max="12" width="12.421875" style="0" bestFit="1" customWidth="1"/>
    <col min="13" max="13" width="11.8515625" style="0" bestFit="1" customWidth="1"/>
  </cols>
  <sheetData>
    <row r="1" spans="1:14" ht="18.75">
      <c r="A1" s="53"/>
      <c r="D1" s="49" t="s">
        <v>84</v>
      </c>
      <c r="J1" s="50" t="s">
        <v>85</v>
      </c>
      <c r="K1" s="101">
        <v>2013</v>
      </c>
      <c r="M1" s="111" t="s">
        <v>99</v>
      </c>
      <c r="N1" s="111" t="s">
        <v>100</v>
      </c>
    </row>
    <row r="2" ht="13.5" thickBot="1"/>
    <row r="3" spans="1:13" ht="18.75">
      <c r="A3" s="103"/>
      <c r="B3" s="46">
        <v>39814</v>
      </c>
      <c r="C3" s="46">
        <v>39845</v>
      </c>
      <c r="D3" s="46">
        <v>39873</v>
      </c>
      <c r="E3" s="46">
        <v>39904</v>
      </c>
      <c r="F3" s="46">
        <v>39934</v>
      </c>
      <c r="G3" s="46">
        <v>39965</v>
      </c>
      <c r="H3" s="46">
        <v>39995</v>
      </c>
      <c r="I3" s="46">
        <v>40026</v>
      </c>
      <c r="J3" s="46">
        <v>40057</v>
      </c>
      <c r="K3" s="46">
        <v>40087</v>
      </c>
      <c r="L3" s="46">
        <v>40118</v>
      </c>
      <c r="M3" s="47">
        <v>40148</v>
      </c>
    </row>
    <row r="4" spans="1:13" ht="12.75">
      <c r="A4" s="2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6"/>
    </row>
    <row r="5" spans="1:13" ht="12.75">
      <c r="A5" s="23" t="s">
        <v>18</v>
      </c>
      <c r="B5" s="31">
        <f>SUM(Informacion!B5:B11)</f>
        <v>15000</v>
      </c>
      <c r="C5" s="31">
        <f>SUM(Informacion!C5:C11)</f>
        <v>15000</v>
      </c>
      <c r="D5" s="31">
        <f>SUM(Informacion!D5:D11)</f>
        <v>15000</v>
      </c>
      <c r="E5" s="31">
        <f>SUM(Informacion!E5:E11)</f>
        <v>15000</v>
      </c>
      <c r="F5" s="31">
        <f>SUM(Informacion!F5:F11)</f>
        <v>15000</v>
      </c>
      <c r="G5" s="31">
        <f>SUM(Informacion!G5:G11)</f>
        <v>15000</v>
      </c>
      <c r="H5" s="31">
        <f>SUM(Informacion!H5:H11)</f>
        <v>15000</v>
      </c>
      <c r="I5" s="31">
        <f>SUM(Informacion!I5:I11)</f>
        <v>15000</v>
      </c>
      <c r="J5" s="31">
        <f>SUM(Informacion!J5:J11)</f>
        <v>15000</v>
      </c>
      <c r="K5" s="31">
        <f>SUM(Informacion!K5:K11)</f>
        <v>15000</v>
      </c>
      <c r="L5" s="31">
        <f>SUM(Informacion!L5:L11)</f>
        <v>15000</v>
      </c>
      <c r="M5" s="32">
        <f>SUM(Informacion!M5:M11)</f>
        <v>15000</v>
      </c>
    </row>
    <row r="6" spans="1:13" ht="6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2.75">
      <c r="A7" s="30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6"/>
    </row>
    <row r="8" spans="1:14" ht="12.75">
      <c r="A8" s="23" t="s">
        <v>36</v>
      </c>
      <c r="B8" s="7"/>
      <c r="C8" s="7"/>
      <c r="D8" s="7"/>
      <c r="E8" s="7"/>
      <c r="F8" s="7"/>
      <c r="G8" s="7">
        <f>IF(Informacion!$J$24=0,MAX($B$5:$G$5)/2/7,Informacion!$J$24/7)</f>
        <v>1071.4285714285713</v>
      </c>
      <c r="H8" s="7">
        <f>IF(Informacion!$J$24=0,MAX($B$5:$G$5)/2/7,Informacion!$J$24/7)</f>
        <v>1071.4285714285713</v>
      </c>
      <c r="I8" s="7">
        <f>IF(Informacion!$J$24=0,MAX($B$5:$G$5)/2/7,Informacion!$J$24/7)</f>
        <v>1071.4285714285713</v>
      </c>
      <c r="J8" s="7">
        <f>IF(Informacion!$J$24=0,MAX($B$5:$G$5)/2/7,Informacion!$J$24/7)</f>
        <v>1071.4285714285713</v>
      </c>
      <c r="K8" s="7">
        <f>IF(Informacion!$J$24=0,MAX($B$5:$G$5)/2/7,Informacion!$J$24/7)</f>
        <v>1071.4285714285713</v>
      </c>
      <c r="L8" s="7">
        <f>IF(Informacion!$J$24=0,MAX($B$5:$G$5)/2/7,Informacion!$J$24/7)</f>
        <v>1071.4285714285713</v>
      </c>
      <c r="M8" s="37">
        <f>IF(Informacion!$J$24=0,MAX($B$5:$G$5)/2/7,Informacion!$J$24/7)</f>
        <v>1071.4285714285713</v>
      </c>
      <c r="N8" s="8"/>
    </row>
    <row r="9" spans="1:13" ht="12.75">
      <c r="A9" s="38" t="s">
        <v>37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7">
        <f>IF(Informacion!$J$25=0,MAX($H$5:$M$5)/2,Informacion!$J$25)</f>
        <v>7500</v>
      </c>
    </row>
    <row r="10" spans="1:14" ht="12.75">
      <c r="A10" s="23" t="str">
        <f>Informacion!A24</f>
        <v>Gratificacion Anual</v>
      </c>
      <c r="B10" s="7">
        <f>IF(MONTH(B$3)&gt;=MONTH(Informacion!$D24),Informacion!$B24/(12-MONTH(Informacion!$D24)+1),0)</f>
        <v>0</v>
      </c>
      <c r="C10" s="7">
        <f>IF(MONTH(C$3)&gt;=MONTH(Informacion!$D24),Informacion!$B24/(12-MONTH(Informacion!$D24)+1),0)</f>
        <v>0</v>
      </c>
      <c r="D10" s="7">
        <f>IF(MONTH(D$3)&gt;=MONTH(Informacion!$D24),Informacion!$B24/(12-MONTH(Informacion!$D24)+1),0)</f>
        <v>0</v>
      </c>
      <c r="E10" s="7">
        <f>IF(MONTH(E$3)&gt;=MONTH(Informacion!$D24),Informacion!$B24/(12-MONTH(Informacion!$D24)+1),0)</f>
        <v>0</v>
      </c>
      <c r="F10" s="7">
        <f>IF(MONTH(F$3)&gt;=MONTH(Informacion!$D24),Informacion!$B24/(12-MONTH(Informacion!$D24)+1),0)</f>
        <v>0</v>
      </c>
      <c r="G10" s="7">
        <f>IF(MONTH(G$3)&gt;=MONTH(Informacion!$D24),Informacion!$B24/(12-MONTH(Informacion!$D24)+1),0)</f>
        <v>0</v>
      </c>
      <c r="H10" s="7">
        <f>IF(MONTH(H$3)&gt;=MONTH(Informacion!$D24),Informacion!$B24/(12-MONTH(Informacion!$D24)+1),0)</f>
        <v>0</v>
      </c>
      <c r="I10" s="7">
        <f>IF(MONTH(I$3)&gt;=MONTH(Informacion!$D24),Informacion!$B24/(12-MONTH(Informacion!$D24)+1),0)</f>
        <v>0</v>
      </c>
      <c r="J10" s="7">
        <f>IF(MONTH(J$3)&gt;=MONTH(Informacion!$D24),Informacion!$B24/(12-MONTH(Informacion!$D24)+1),0)</f>
        <v>0</v>
      </c>
      <c r="K10" s="7">
        <f>IF(MONTH(K$3)&gt;=MONTH(Informacion!$D24),Informacion!$B24/(12-MONTH(Informacion!$D24)+1),0)</f>
        <v>0</v>
      </c>
      <c r="L10" s="7">
        <f>IF(MONTH(L$3)&gt;=MONTH(Informacion!$D24),Informacion!$B24/(12-MONTH(Informacion!$D24)+1),0)</f>
        <v>0</v>
      </c>
      <c r="M10" s="37">
        <f>IF(MONTH(M$3)&gt;=MONTH(Informacion!$D24),Informacion!$B24/(12-MONTH(Informacion!$D24)+1),0)</f>
        <v>0</v>
      </c>
      <c r="N10" s="8"/>
    </row>
    <row r="11" spans="1:14" ht="12.75">
      <c r="A11" s="38" t="str">
        <f>Informacion!A25</f>
        <v>……………………………………………..</v>
      </c>
      <c r="B11" s="7">
        <f>IF(MONTH(B$3)&gt;=MONTH(Informacion!$D25),Informacion!$B25/(12-MONTH(Informacion!$D25)+1),0)</f>
        <v>0</v>
      </c>
      <c r="C11" s="7">
        <f>IF(MONTH(C$3)&gt;=MONTH(Informacion!$D25),Informacion!$B25/(12-MONTH(Informacion!$D25)+1),0)</f>
        <v>0</v>
      </c>
      <c r="D11" s="7">
        <f>IF(MONTH(D$3)&gt;=MONTH(Informacion!$D25),Informacion!$B25/(12-MONTH(Informacion!$D25)+1),0)</f>
        <v>0</v>
      </c>
      <c r="E11" s="7">
        <f>IF(MONTH(E$3)&gt;=MONTH(Informacion!$D25),Informacion!$B25/(12-MONTH(Informacion!$D25)+1),0)</f>
        <v>0</v>
      </c>
      <c r="F11" s="7">
        <f>IF(MONTH(F$3)&gt;=MONTH(Informacion!$D25),Informacion!$B25/(12-MONTH(Informacion!$D25)+1),0)</f>
        <v>0</v>
      </c>
      <c r="G11" s="7">
        <f>IF(MONTH(G$3)&gt;=MONTH(Informacion!$D25),Informacion!$B25/(12-MONTH(Informacion!$D25)+1),0)</f>
        <v>0</v>
      </c>
      <c r="H11" s="7">
        <f>IF(MONTH(H$3)&gt;=MONTH(Informacion!$D25),Informacion!$B25/(12-MONTH(Informacion!$D25)+1),0)</f>
        <v>0</v>
      </c>
      <c r="I11" s="7">
        <f>IF(MONTH(I$3)&gt;=MONTH(Informacion!$D25),Informacion!$B25/(12-MONTH(Informacion!$D25)+1),0)</f>
        <v>0</v>
      </c>
      <c r="J11" s="7">
        <f>IF(MONTH(J$3)&gt;=MONTH(Informacion!$D25),Informacion!$B25/(12-MONTH(Informacion!$D25)+1),0)</f>
        <v>0</v>
      </c>
      <c r="K11" s="7">
        <f>IF(MONTH(K$3)&gt;=MONTH(Informacion!$D25),Informacion!$B25/(12-MONTH(Informacion!$D25)+1),0)</f>
        <v>0</v>
      </c>
      <c r="L11" s="7">
        <f>IF(MONTH(L$3)&gt;=MONTH(Informacion!$D25),Informacion!$B25/(12-MONTH(Informacion!$D25)+1),0)</f>
        <v>0</v>
      </c>
      <c r="M11" s="37">
        <f>IF(MONTH(M$3)&gt;=MONTH(Informacion!$D25),Informacion!$B25/(12-MONTH(Informacion!$D25)+1),0)</f>
        <v>0</v>
      </c>
      <c r="N11" s="8"/>
    </row>
    <row r="12" spans="1:13" ht="12.75">
      <c r="A12" s="38" t="str">
        <f>Informacion!A26</f>
        <v>………………………………………………</v>
      </c>
      <c r="B12" s="7">
        <f>IF(MONTH(B$3)&gt;=MONTH(Informacion!$D26),Informacion!$B26/(12-MONTH(Informacion!$D26)+1),0)</f>
        <v>0</v>
      </c>
      <c r="C12" s="7">
        <f>IF(MONTH(C$3)&gt;=MONTH(Informacion!$D26),Informacion!$B26/(12-MONTH(Informacion!$D26)+1),0)</f>
        <v>0</v>
      </c>
      <c r="D12" s="7">
        <f>IF(MONTH(D$3)&gt;=MONTH(Informacion!$D26),Informacion!$B26/(12-MONTH(Informacion!$D26)+1),0)</f>
        <v>0</v>
      </c>
      <c r="E12" s="7">
        <f>IF(MONTH(E$3)&gt;=MONTH(Informacion!$D26),Informacion!$B26/(12-MONTH(Informacion!$D26)+1),0)</f>
        <v>0</v>
      </c>
      <c r="F12" s="7">
        <f>IF(MONTH(F$3)&gt;=MONTH(Informacion!$D26),Informacion!$B26/(12-MONTH(Informacion!$D26)+1),0)</f>
        <v>0</v>
      </c>
      <c r="G12" s="7">
        <f>IF(MONTH(G$3)&gt;=MONTH(Informacion!$D26),Informacion!$B26/(12-MONTH(Informacion!$D26)+1),0)</f>
        <v>0</v>
      </c>
      <c r="H12" s="7">
        <f>IF(MONTH(H$3)&gt;=MONTH(Informacion!$D26),Informacion!$B26/(12-MONTH(Informacion!$D26)+1),0)</f>
        <v>0</v>
      </c>
      <c r="I12" s="7">
        <f>IF(MONTH(I$3)&gt;=MONTH(Informacion!$D26),Informacion!$B26/(12-MONTH(Informacion!$D26)+1),0)</f>
        <v>0</v>
      </c>
      <c r="J12" s="7">
        <f>IF(MONTH(J$3)&gt;=MONTH(Informacion!$D26),Informacion!$B26/(12-MONTH(Informacion!$D26)+1),0)</f>
        <v>0</v>
      </c>
      <c r="K12" s="7">
        <f>IF(MONTH(K$3)&gt;=MONTH(Informacion!$D26),Informacion!$B26/(12-MONTH(Informacion!$D26)+1),0)</f>
        <v>0</v>
      </c>
      <c r="L12" s="7">
        <f>IF(MONTH(L$3)&gt;=MONTH(Informacion!$D26),Informacion!$B26/(12-MONTH(Informacion!$D26)+1),0)</f>
        <v>0</v>
      </c>
      <c r="M12" s="37">
        <f>IF(MONTH(M$3)&gt;=MONTH(Informacion!$D26),Informacion!$B26/(12-MONTH(Informacion!$D26)+1),0)</f>
        <v>0</v>
      </c>
    </row>
    <row r="13" spans="1:13" ht="12.75">
      <c r="A13" s="23" t="s">
        <v>50</v>
      </c>
      <c r="B13" s="31">
        <f aca="true" t="shared" si="0" ref="B13:M13">SUM(B8:B12)</f>
        <v>0</v>
      </c>
      <c r="C13" s="31">
        <f t="shared" si="0"/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1071.4285714285713</v>
      </c>
      <c r="H13" s="31">
        <f t="shared" si="0"/>
        <v>1071.4285714285713</v>
      </c>
      <c r="I13" s="31">
        <f t="shared" si="0"/>
        <v>1071.4285714285713</v>
      </c>
      <c r="J13" s="31">
        <f t="shared" si="0"/>
        <v>1071.4285714285713</v>
      </c>
      <c r="K13" s="31">
        <f t="shared" si="0"/>
        <v>1071.4285714285713</v>
      </c>
      <c r="L13" s="31">
        <f t="shared" si="0"/>
        <v>1071.4285714285713</v>
      </c>
      <c r="M13" s="32">
        <f t="shared" si="0"/>
        <v>8571.42857142857</v>
      </c>
    </row>
    <row r="14" spans="1:13" ht="6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ht="12.75">
      <c r="A15" s="30" t="s">
        <v>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6"/>
    </row>
    <row r="16" spans="1:14" ht="12.75">
      <c r="A16" s="23" t="s">
        <v>94</v>
      </c>
      <c r="B16" s="7">
        <f>IF(Informacion!B15=0,Liquidacion!B$5*0.11,Informacion!B15)</f>
        <v>1650</v>
      </c>
      <c r="C16" s="7">
        <f>IF(Informacion!C15=0,Liquidacion!C$5*0.11,Informacion!C15)</f>
        <v>1650</v>
      </c>
      <c r="D16" s="7">
        <f>IF(Informacion!D15=0,Liquidacion!D$5*0.11,Informacion!D15)</f>
        <v>1650</v>
      </c>
      <c r="E16" s="7">
        <f>IF(Informacion!E15=0,Liquidacion!E$5*0.11,Informacion!E15)</f>
        <v>1650</v>
      </c>
      <c r="F16" s="7">
        <f>IF(Informacion!F15=0,Liquidacion!F$5*0.11,Informacion!F15)</f>
        <v>1650</v>
      </c>
      <c r="G16" s="7">
        <f>IF(Informacion!G15=0,Liquidacion!G$5*0.11,Informacion!G15)</f>
        <v>1650</v>
      </c>
      <c r="H16" s="7">
        <f>IF(Informacion!H15=0,Liquidacion!H$5*0.11,Informacion!H15)</f>
        <v>1650</v>
      </c>
      <c r="I16" s="7">
        <f>IF(Informacion!I15=0,Liquidacion!I$5*0.11,Informacion!I15)</f>
        <v>1650</v>
      </c>
      <c r="J16" s="7">
        <f>IF(Informacion!J15=0,Liquidacion!J$5*0.11,Informacion!J15)</f>
        <v>1650</v>
      </c>
      <c r="K16" s="7">
        <f>IF(Informacion!K15=0,Liquidacion!K$5*0.11,Informacion!K15)</f>
        <v>1650</v>
      </c>
      <c r="L16" s="7">
        <f>IF(Informacion!L15=0,Liquidacion!L$5*0.11,Informacion!L15)</f>
        <v>1650</v>
      </c>
      <c r="M16" s="37">
        <f>IF(Informacion!M15=0,Liquidacion!M$5*0.11,Informacion!M15)</f>
        <v>1650</v>
      </c>
      <c r="N16" s="8"/>
    </row>
    <row r="17" spans="1:13" ht="12.75">
      <c r="A17" s="23" t="s">
        <v>21</v>
      </c>
      <c r="B17" s="7">
        <f>IF(Informacion!B16=0,Liquidacion!B$5*0.03,Informacion!B16)</f>
        <v>450</v>
      </c>
      <c r="C17" s="7">
        <f>IF(Informacion!C16=0,Liquidacion!C$5*0.03,Informacion!C16)</f>
        <v>450</v>
      </c>
      <c r="D17" s="7">
        <f>IF(Informacion!D16=0,Liquidacion!D$5*0.03,Informacion!D16)</f>
        <v>450</v>
      </c>
      <c r="E17" s="7">
        <f>IF(Informacion!E16=0,Liquidacion!E$5*0.03,Informacion!E16)</f>
        <v>450</v>
      </c>
      <c r="F17" s="7">
        <f>IF(Informacion!F16=0,Liquidacion!F$5*0.03,Informacion!F16)</f>
        <v>450</v>
      </c>
      <c r="G17" s="7">
        <f>IF(Informacion!G16=0,Liquidacion!G$5*0.03,Informacion!G16)</f>
        <v>450</v>
      </c>
      <c r="H17" s="7">
        <f>IF(Informacion!H16=0,Liquidacion!H$5*0.03,Informacion!H16)</f>
        <v>450</v>
      </c>
      <c r="I17" s="7">
        <f>IF(Informacion!I16=0,Liquidacion!I$5*0.03,Informacion!I16)</f>
        <v>450</v>
      </c>
      <c r="J17" s="7">
        <f>IF(Informacion!J16=0,Liquidacion!J$5*0.03,Informacion!J16)</f>
        <v>450</v>
      </c>
      <c r="K17" s="7">
        <f>IF(Informacion!K16=0,Liquidacion!K$5*0.03,Informacion!K16)</f>
        <v>450</v>
      </c>
      <c r="L17" s="7">
        <f>IF(Informacion!L16=0,Liquidacion!L$5*0.03,Informacion!L16)</f>
        <v>450</v>
      </c>
      <c r="M17" s="37">
        <f>IF(Informacion!M16=0,Liquidacion!M$5*0.03,Informacion!M16)</f>
        <v>450</v>
      </c>
    </row>
    <row r="18" spans="1:13" ht="12.75">
      <c r="A18" s="23" t="s">
        <v>22</v>
      </c>
      <c r="B18" s="7">
        <f>IF(Informacion!B17=0,Liquidacion!B$5*0.03,Informacion!B17)</f>
        <v>450</v>
      </c>
      <c r="C18" s="7">
        <f>IF(Informacion!C17=0,Liquidacion!C$5*0.03,Informacion!C17)</f>
        <v>450</v>
      </c>
      <c r="D18" s="7">
        <f>IF(Informacion!D17=0,Liquidacion!D$5*0.03,Informacion!D17)</f>
        <v>450</v>
      </c>
      <c r="E18" s="7">
        <f>IF(Informacion!E17=0,Liquidacion!E$5*0.03,Informacion!E17)</f>
        <v>450</v>
      </c>
      <c r="F18" s="7">
        <f>IF(Informacion!F17=0,Liquidacion!F$5*0.03,Informacion!F17)</f>
        <v>450</v>
      </c>
      <c r="G18" s="7">
        <f>IF(Informacion!G17=0,Liquidacion!G$5*0.03,Informacion!G17)</f>
        <v>450</v>
      </c>
      <c r="H18" s="7">
        <f>IF(Informacion!H17=0,Liquidacion!H$5*0.03,Informacion!H17)</f>
        <v>450</v>
      </c>
      <c r="I18" s="7">
        <f>IF(Informacion!I17=0,Liquidacion!I$5*0.03,Informacion!I17)</f>
        <v>450</v>
      </c>
      <c r="J18" s="7">
        <f>IF(Informacion!J17=0,Liquidacion!J$5*0.03,Informacion!J17)</f>
        <v>450</v>
      </c>
      <c r="K18" s="7">
        <f>IF(Informacion!K17=0,Liquidacion!K$5*0.03,Informacion!K17)</f>
        <v>450</v>
      </c>
      <c r="L18" s="7">
        <f>IF(Informacion!L17=0,Liquidacion!L$5*0.03,Informacion!L17)</f>
        <v>450</v>
      </c>
      <c r="M18" s="37">
        <f>IF(Informacion!M17=0,Liquidacion!M$5*0.03,Informacion!M17)</f>
        <v>450</v>
      </c>
    </row>
    <row r="19" spans="1:13" ht="12.75">
      <c r="A19" s="23" t="s">
        <v>93</v>
      </c>
      <c r="B19" s="7">
        <f>IF(Informacion!B18=0,Liquidacion!B$5*0.02,Informacion!B18)</f>
        <v>300</v>
      </c>
      <c r="C19" s="7">
        <f>IF(Informacion!C18=0,Liquidacion!C$5*0.02,Informacion!C18)</f>
        <v>300</v>
      </c>
      <c r="D19" s="7">
        <f>IF(Informacion!D18=0,Liquidacion!D$5*0.02,Informacion!D18)</f>
        <v>300</v>
      </c>
      <c r="E19" s="7">
        <f>IF(Informacion!E18=0,Liquidacion!E$5*0.02,Informacion!E18)</f>
        <v>300</v>
      </c>
      <c r="F19" s="7">
        <f>IF(Informacion!F18=0,Liquidacion!F$5*0.02,Informacion!F18)</f>
        <v>300</v>
      </c>
      <c r="G19" s="7">
        <f>IF(Informacion!G18=0,Liquidacion!G$5*0.02,Informacion!G18)</f>
        <v>300</v>
      </c>
      <c r="H19" s="7">
        <f>IF(Informacion!H18=0,Liquidacion!H$5*0.02,Informacion!H18)</f>
        <v>300</v>
      </c>
      <c r="I19" s="7">
        <f>IF(Informacion!I18=0,Liquidacion!I$5*0.02,Informacion!I18)</f>
        <v>300</v>
      </c>
      <c r="J19" s="7">
        <f>IF(Informacion!J18=0,Liquidacion!J$5*0.02,Informacion!J18)</f>
        <v>300</v>
      </c>
      <c r="K19" s="7">
        <f>IF(Informacion!K18=0,Liquidacion!K$5*0.02,Informacion!K18)</f>
        <v>300</v>
      </c>
      <c r="L19" s="7">
        <f>IF(Informacion!L18=0,Liquidacion!L$5*0.02,Informacion!L18)</f>
        <v>300</v>
      </c>
      <c r="M19" s="37">
        <f>IF(Informacion!M18=0,Liquidacion!M$5*0.02,Informacion!M18)</f>
        <v>300</v>
      </c>
    </row>
    <row r="20" spans="1:13" ht="12.75">
      <c r="A20" s="23" t="s">
        <v>23</v>
      </c>
      <c r="B20" s="31">
        <f aca="true" t="shared" si="1" ref="B20:M20">SUM(B16:B18)</f>
        <v>2550</v>
      </c>
      <c r="C20" s="31">
        <f t="shared" si="1"/>
        <v>2550</v>
      </c>
      <c r="D20" s="31">
        <f t="shared" si="1"/>
        <v>2550</v>
      </c>
      <c r="E20" s="31">
        <f t="shared" si="1"/>
        <v>2550</v>
      </c>
      <c r="F20" s="31">
        <f t="shared" si="1"/>
        <v>2550</v>
      </c>
      <c r="G20" s="31">
        <f t="shared" si="1"/>
        <v>2550</v>
      </c>
      <c r="H20" s="31">
        <f t="shared" si="1"/>
        <v>2550</v>
      </c>
      <c r="I20" s="31">
        <f t="shared" si="1"/>
        <v>2550</v>
      </c>
      <c r="J20" s="31">
        <f t="shared" si="1"/>
        <v>2550</v>
      </c>
      <c r="K20" s="31">
        <f t="shared" si="1"/>
        <v>2550</v>
      </c>
      <c r="L20" s="31">
        <f t="shared" si="1"/>
        <v>2550</v>
      </c>
      <c r="M20" s="32">
        <f t="shared" si="1"/>
        <v>2550</v>
      </c>
    </row>
    <row r="21" spans="1:13" ht="6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4" ht="12.75">
      <c r="A22" s="23" t="s">
        <v>83</v>
      </c>
      <c r="B22" s="7">
        <f aca="true" t="shared" si="2" ref="B22:M22">B5+B13-B20</f>
        <v>12450</v>
      </c>
      <c r="C22" s="7">
        <f t="shared" si="2"/>
        <v>12450</v>
      </c>
      <c r="D22" s="7">
        <f t="shared" si="2"/>
        <v>12450</v>
      </c>
      <c r="E22" s="7">
        <f t="shared" si="2"/>
        <v>12450</v>
      </c>
      <c r="F22" s="7">
        <f t="shared" si="2"/>
        <v>12450</v>
      </c>
      <c r="G22" s="7">
        <f t="shared" si="2"/>
        <v>13521.42857142857</v>
      </c>
      <c r="H22" s="7">
        <f t="shared" si="2"/>
        <v>13521.42857142857</v>
      </c>
      <c r="I22" s="7">
        <f t="shared" si="2"/>
        <v>13521.42857142857</v>
      </c>
      <c r="J22" s="7">
        <f t="shared" si="2"/>
        <v>13521.42857142857</v>
      </c>
      <c r="K22" s="7">
        <f t="shared" si="2"/>
        <v>13521.42857142857</v>
      </c>
      <c r="L22" s="7">
        <f t="shared" si="2"/>
        <v>13521.42857142857</v>
      </c>
      <c r="M22" s="37">
        <f t="shared" si="2"/>
        <v>21021.428571428572</v>
      </c>
      <c r="N22" s="8"/>
    </row>
    <row r="23" spans="1:13" ht="12.75">
      <c r="A23" s="30" t="s">
        <v>81</v>
      </c>
      <c r="B23" s="31">
        <f>B22</f>
        <v>12450</v>
      </c>
      <c r="C23" s="31">
        <f aca="true" t="shared" si="3" ref="C23:M23">C22+B23</f>
        <v>24900</v>
      </c>
      <c r="D23" s="31">
        <f t="shared" si="3"/>
        <v>37350</v>
      </c>
      <c r="E23" s="31">
        <f t="shared" si="3"/>
        <v>49800</v>
      </c>
      <c r="F23" s="31">
        <f t="shared" si="3"/>
        <v>62250</v>
      </c>
      <c r="G23" s="31">
        <f t="shared" si="3"/>
        <v>75771.42857142857</v>
      </c>
      <c r="H23" s="31">
        <f t="shared" si="3"/>
        <v>89292.85714285713</v>
      </c>
      <c r="I23" s="31">
        <f t="shared" si="3"/>
        <v>102814.2857142857</v>
      </c>
      <c r="J23" s="31">
        <f t="shared" si="3"/>
        <v>116335.71428571426</v>
      </c>
      <c r="K23" s="31">
        <f t="shared" si="3"/>
        <v>129857.14285714283</v>
      </c>
      <c r="L23" s="31">
        <f t="shared" si="3"/>
        <v>143378.5714285714</v>
      </c>
      <c r="M23" s="32">
        <f t="shared" si="3"/>
        <v>164399.99999999997</v>
      </c>
    </row>
    <row r="24" spans="1:13" ht="6" customHeight="1">
      <c r="A24" s="27"/>
      <c r="B24" s="39"/>
      <c r="C24" s="39"/>
      <c r="D24" s="39"/>
      <c r="E24" s="39"/>
      <c r="F24" s="39"/>
      <c r="G24" s="39"/>
      <c r="H24" s="39"/>
      <c r="I24" s="39"/>
      <c r="J24" s="39"/>
      <c r="K24" s="28"/>
      <c r="L24" s="28"/>
      <c r="M24" s="29"/>
    </row>
    <row r="25" spans="1:13" ht="12.75">
      <c r="A25" s="30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6"/>
    </row>
    <row r="26" spans="1:14" ht="12.75">
      <c r="A26" s="33" t="s">
        <v>63</v>
      </c>
      <c r="B26" s="7">
        <f>IF(MONTH(B$3)&gt;=MONTH(Informacion!$D29),MIN(Informacion!$B29,Tablas!$M$3)*(MONTH(B$3)-MONTH(Informacion!$D29)+1)/(12-MONTH(Informacion!$D29)+1),0)</f>
        <v>0</v>
      </c>
      <c r="C26" s="7">
        <f>IF(MONTH(C$3)&gt;=MONTH(Informacion!$D29),MIN(Informacion!$B29,Tablas!$M$3)*(MONTH(C$3)-MONTH(Informacion!$D29)+1)/(12-MONTH(Informacion!$D29)+1),0)</f>
        <v>0</v>
      </c>
      <c r="D26" s="7">
        <f>IF(MONTH(D$3)&gt;=MONTH(Informacion!$D29),MIN(Informacion!$B29,Tablas!$M$3)*(MONTH(D$3)-MONTH(Informacion!$D29)+1)/(12-MONTH(Informacion!$D29)+1),0)</f>
        <v>0</v>
      </c>
      <c r="E26" s="7">
        <f>IF(MONTH(E$3)&gt;=MONTH(Informacion!$D29),MIN(Informacion!$B29,Tablas!$M$3)*(MONTH(E$3)-MONTH(Informacion!$D29)+1)/(12-MONTH(Informacion!$D29)+1),0)</f>
        <v>0</v>
      </c>
      <c r="F26" s="7">
        <f>IF(MONTH(F$3)&gt;=MONTH(Informacion!$D29),MIN(Informacion!$B29,Tablas!$M$3)*(MONTH(F$3)-MONTH(Informacion!$D29)+1)/(12-MONTH(Informacion!$D29)+1),0)</f>
        <v>0</v>
      </c>
      <c r="G26" s="7">
        <f>IF(MONTH(G$3)&gt;=MONTH(Informacion!$D29),MIN(Informacion!$B29,Tablas!$M$3)*(MONTH(G$3)-MONTH(Informacion!$D29)+1)/(12-MONTH(Informacion!$D29)+1),0)</f>
        <v>0</v>
      </c>
      <c r="H26" s="7">
        <f>IF(MONTH(H$3)&gt;=MONTH(Informacion!$D29),MIN(Informacion!$B29,Tablas!$M$3)*(MONTH(H$3)-MONTH(Informacion!$D29)+1)/(12-MONTH(Informacion!$D29)+1),0)</f>
        <v>0</v>
      </c>
      <c r="I26" s="7">
        <f>IF(MONTH(I$3)&gt;=MONTH(Informacion!$D29),MIN(Informacion!$B29,Tablas!$M$3)*(MONTH(I$3)-MONTH(Informacion!$D29)+1)/(12-MONTH(Informacion!$D29)+1),0)</f>
        <v>0</v>
      </c>
      <c r="J26" s="7">
        <f>IF(MONTH(J$3)&gt;=MONTH(Informacion!$D29),MIN(Informacion!$B29,Tablas!$M$3)*(MONTH(J$3)-MONTH(Informacion!$D29)+1)/(12-MONTH(Informacion!$D29)+1),0)</f>
        <v>0</v>
      </c>
      <c r="K26" s="7">
        <f>IF(MONTH(K$3)&gt;=MONTH(Informacion!$D29),MIN(Informacion!$B29,Tablas!$M$3)*(MONTH(K$3)-MONTH(Informacion!$D29)+1)/(12-MONTH(Informacion!$D29)+1),0)</f>
        <v>0</v>
      </c>
      <c r="L26" s="7">
        <f>IF(MONTH(L$3)&gt;=MONTH(Informacion!$D29),MIN(Informacion!$B29,Tablas!$M$3)*(MONTH(L$3)-MONTH(Informacion!$D29)+1)/(12-MONTH(Informacion!$D29)+1),0)</f>
        <v>0</v>
      </c>
      <c r="M26" s="37">
        <f>IF(MONTH(M$3)&gt;=MONTH(Informacion!$D29),MIN(Informacion!$B29,Tablas!$M$3)*(MONTH(M$3)-MONTH(Informacion!$D29)+1)/(12-MONTH(Informacion!$D29)+1),0)</f>
        <v>0</v>
      </c>
      <c r="N26" s="8"/>
    </row>
    <row r="27" spans="1:13" ht="12.75">
      <c r="A27" s="33" t="s">
        <v>27</v>
      </c>
      <c r="B27" s="7">
        <f>IF(MONTH(B$3)&gt;=MONTH(Informacion!$D30),MIN(Informacion!$B30,Tablas!$M$4)*(MONTH(B$3)-MONTH(Informacion!$D30)+1)/(12-MONTH(Informacion!$D30)+1),0)</f>
        <v>0</v>
      </c>
      <c r="C27" s="7">
        <f>IF(MONTH(C$3)&gt;=MONTH(Informacion!$D30),MIN(Informacion!$B30,Tablas!$M$4)*(MONTH(C$3)-MONTH(Informacion!$D30)+1)/(12-MONTH(Informacion!$D30)+1),0)</f>
        <v>0</v>
      </c>
      <c r="D27" s="7">
        <f>IF(MONTH(D$3)&gt;=MONTH(Informacion!$D30),MIN(Informacion!$B30,Tablas!$M$4)*(MONTH(D$3)-MONTH(Informacion!$D30)+1)/(12-MONTH(Informacion!$D30)+1),0)</f>
        <v>0</v>
      </c>
      <c r="E27" s="7">
        <f>IF(MONTH(E$3)&gt;=MONTH(Informacion!$D30),MIN(Informacion!$B30,Tablas!$M$4)*(MONTH(E$3)-MONTH(Informacion!$D30)+1)/(12-MONTH(Informacion!$D30)+1),0)</f>
        <v>0</v>
      </c>
      <c r="F27" s="7">
        <f>IF(MONTH(F$3)&gt;=MONTH(Informacion!$D30),MIN(Informacion!$B30,Tablas!$M$4)*(MONTH(F$3)-MONTH(Informacion!$D30)+1)/(12-MONTH(Informacion!$D30)+1),0)</f>
        <v>0</v>
      </c>
      <c r="G27" s="7">
        <f>IF(MONTH(G$3)&gt;=MONTH(Informacion!$D30),MIN(Informacion!$B30,Tablas!$M$4)*(MONTH(G$3)-MONTH(Informacion!$D30)+1)/(12-MONTH(Informacion!$D30)+1),0)</f>
        <v>0</v>
      </c>
      <c r="H27" s="7">
        <f>IF(MONTH(H$3)&gt;=MONTH(Informacion!$D30),MIN(Informacion!$B30,Tablas!$M$4)*(MONTH(H$3)-MONTH(Informacion!$D30)+1)/(12-MONTH(Informacion!$D30)+1),0)</f>
        <v>0</v>
      </c>
      <c r="I27" s="7">
        <f>IF(MONTH(I$3)&gt;=MONTH(Informacion!$D30),MIN(Informacion!$B30,Tablas!$M$4)*(MONTH(I$3)-MONTH(Informacion!$D30)+1)/(12-MONTH(Informacion!$D30)+1),0)</f>
        <v>0</v>
      </c>
      <c r="J27" s="7">
        <f>IF(MONTH(J$3)&gt;=MONTH(Informacion!$D30),MIN(Informacion!$B30,Tablas!$M$4)*(MONTH(J$3)-MONTH(Informacion!$D30)+1)/(12-MONTH(Informacion!$D30)+1),0)</f>
        <v>0</v>
      </c>
      <c r="K27" s="7">
        <f>IF(MONTH(K$3)&gt;=MONTH(Informacion!$D30),MIN(Informacion!$B30,Tablas!$M$4)*(MONTH(K$3)-MONTH(Informacion!$D30)+1)/(12-MONTH(Informacion!$D30)+1),0)</f>
        <v>0</v>
      </c>
      <c r="L27" s="7">
        <f>IF(MONTH(L$3)&gt;=MONTH(Informacion!$D30),MIN(Informacion!$B30,Tablas!$M$4)*(MONTH(L$3)-MONTH(Informacion!$D30)+1)/(12-MONTH(Informacion!$D30)+1),0)</f>
        <v>0</v>
      </c>
      <c r="M27" s="37">
        <f>IF(MONTH(M$3)&gt;=MONTH(Informacion!$D30),MIN(Informacion!$B30,Tablas!$M$4)*(MONTH(M$3)-MONTH(Informacion!$D30)+1)/(12-MONTH(Informacion!$D30)+1),0)</f>
        <v>0</v>
      </c>
    </row>
    <row r="28" spans="1:13" ht="12.75">
      <c r="A28" s="33" t="s">
        <v>75</v>
      </c>
      <c r="B28" s="7">
        <f>IF(MONTH(B$3)&gt;=MONTH(Informacion!$D31),MIN(Informacion!$B31,Tablas!$M$5)*(MONTH(B$3)-MONTH(Informacion!$D31)+1)/(12-MONTH(Informacion!$D31)+1),0)</f>
        <v>0</v>
      </c>
      <c r="C28" s="7">
        <f>IF(MONTH(C$3)&gt;=MONTH(Informacion!$D31),MIN(Informacion!$B31,Tablas!$M$5)*(MONTH(C$3)-MONTH(Informacion!$D31)+1)/(12-MONTH(Informacion!$D31)+1),0)</f>
        <v>0</v>
      </c>
      <c r="D28" s="7">
        <f>IF(MONTH(D$3)&gt;=MONTH(Informacion!$D31),MIN(Informacion!$B31,Tablas!$M$5)*(MONTH(D$3)-MONTH(Informacion!$D31)+1)/(12-MONTH(Informacion!$D31)+1),0)</f>
        <v>0</v>
      </c>
      <c r="E28" s="7">
        <f>IF(MONTH(E$3)&gt;=MONTH(Informacion!$D31),MIN(Informacion!$B31,Tablas!$M$5)*(MONTH(E$3)-MONTH(Informacion!$D31)+1)/(12-MONTH(Informacion!$D31)+1),0)</f>
        <v>0</v>
      </c>
      <c r="F28" s="7">
        <f>IF(MONTH(F$3)&gt;=MONTH(Informacion!$D31),MIN(Informacion!$B31,Tablas!$M$5)*(MONTH(F$3)-MONTH(Informacion!$D31)+1)/(12-MONTH(Informacion!$D31)+1),0)</f>
        <v>0</v>
      </c>
      <c r="G28" s="7">
        <f>IF(MONTH(G$3)&gt;=MONTH(Informacion!$D31),MIN(Informacion!$B31,Tablas!$M$5)*(MONTH(G$3)-MONTH(Informacion!$D31)+1)/(12-MONTH(Informacion!$D31)+1),0)</f>
        <v>0</v>
      </c>
      <c r="H28" s="7">
        <f>IF(MONTH(H$3)&gt;=MONTH(Informacion!$D31),MIN(Informacion!$B31,Tablas!$M$5)*(MONTH(H$3)-MONTH(Informacion!$D31)+1)/(12-MONTH(Informacion!$D31)+1),0)</f>
        <v>0</v>
      </c>
      <c r="I28" s="7">
        <f>IF(MONTH(I$3)&gt;=MONTH(Informacion!$D31),MIN(Informacion!$B31,Tablas!$M$5)*(MONTH(I$3)-MONTH(Informacion!$D31)+1)/(12-MONTH(Informacion!$D31)+1),0)</f>
        <v>0</v>
      </c>
      <c r="J28" s="7">
        <f>IF(MONTH(J$3)&gt;=MONTH(Informacion!$D31),MIN(Informacion!$B31,Tablas!$M$5)*(MONTH(J$3)-MONTH(Informacion!$D31)+1)/(12-MONTH(Informacion!$D31)+1),0)</f>
        <v>0</v>
      </c>
      <c r="K28" s="7">
        <f>IF(MONTH(K$3)&gt;=MONTH(Informacion!$D31),MIN(Informacion!$B31,Tablas!$M$5)*(MONTH(K$3)-MONTH(Informacion!$D31)+1)/(12-MONTH(Informacion!$D31)+1),0)</f>
        <v>0</v>
      </c>
      <c r="L28" s="7">
        <f>IF(MONTH(L$3)&gt;=MONTH(Informacion!$D31),MIN(Informacion!$B31,Tablas!$M$5)*(MONTH(L$3)-MONTH(Informacion!$D31)+1)/(12-MONTH(Informacion!$D31)+1),0)</f>
        <v>0</v>
      </c>
      <c r="M28" s="37">
        <f>IF(MONTH(M$3)&gt;=MONTH(Informacion!$D31),MIN(Informacion!$B31,Tablas!$M$5)*(MONTH(M$3)-MONTH(Informacion!$D31)+1)/(12-MONTH(Informacion!$D31)+1),0)</f>
        <v>0</v>
      </c>
    </row>
    <row r="29" spans="1:15" ht="12.75">
      <c r="A29" s="33" t="s">
        <v>43</v>
      </c>
      <c r="B29" s="31">
        <f>SUM(B26:B28)</f>
        <v>0</v>
      </c>
      <c r="C29" s="31">
        <f aca="true" t="shared" si="4" ref="C29:M29">SUM(C26:C28)</f>
        <v>0</v>
      </c>
      <c r="D29" s="31">
        <f t="shared" si="4"/>
        <v>0</v>
      </c>
      <c r="E29" s="31">
        <f t="shared" si="4"/>
        <v>0</v>
      </c>
      <c r="F29" s="31">
        <f t="shared" si="4"/>
        <v>0</v>
      </c>
      <c r="G29" s="31">
        <f t="shared" si="4"/>
        <v>0</v>
      </c>
      <c r="H29" s="31">
        <f t="shared" si="4"/>
        <v>0</v>
      </c>
      <c r="I29" s="31">
        <f t="shared" si="4"/>
        <v>0</v>
      </c>
      <c r="J29" s="31">
        <f t="shared" si="4"/>
        <v>0</v>
      </c>
      <c r="K29" s="31">
        <f t="shared" si="4"/>
        <v>0</v>
      </c>
      <c r="L29" s="31">
        <f t="shared" si="4"/>
        <v>0</v>
      </c>
      <c r="M29" s="32">
        <f t="shared" si="4"/>
        <v>0</v>
      </c>
      <c r="O29" s="8"/>
    </row>
    <row r="30" spans="1:13" ht="6" customHeight="1">
      <c r="A30" s="27"/>
      <c r="B30" s="39"/>
      <c r="C30" s="39"/>
      <c r="D30" s="39"/>
      <c r="E30" s="39"/>
      <c r="F30" s="39"/>
      <c r="G30" s="39"/>
      <c r="H30" s="39"/>
      <c r="I30" s="39"/>
      <c r="J30" s="39"/>
      <c r="K30" s="28"/>
      <c r="L30" s="28"/>
      <c r="M30" s="29"/>
    </row>
    <row r="31" spans="1:13" ht="14.25" customHeight="1">
      <c r="A31" s="45" t="s">
        <v>24</v>
      </c>
      <c r="B31" s="31">
        <f>B23-B29</f>
        <v>12450</v>
      </c>
      <c r="C31" s="31">
        <f aca="true" t="shared" si="5" ref="C31:M31">C23-C29</f>
        <v>24900</v>
      </c>
      <c r="D31" s="31">
        <f t="shared" si="5"/>
        <v>37350</v>
      </c>
      <c r="E31" s="31">
        <f t="shared" si="5"/>
        <v>49800</v>
      </c>
      <c r="F31" s="31">
        <f t="shared" si="5"/>
        <v>62250</v>
      </c>
      <c r="G31" s="31">
        <f t="shared" si="5"/>
        <v>75771.42857142857</v>
      </c>
      <c r="H31" s="31">
        <f t="shared" si="5"/>
        <v>89292.85714285713</v>
      </c>
      <c r="I31" s="31">
        <f t="shared" si="5"/>
        <v>102814.2857142857</v>
      </c>
      <c r="J31" s="31">
        <f t="shared" si="5"/>
        <v>116335.71428571426</v>
      </c>
      <c r="K31" s="31">
        <f t="shared" si="5"/>
        <v>129857.14285714283</v>
      </c>
      <c r="L31" s="31">
        <f t="shared" si="5"/>
        <v>143378.5714285714</v>
      </c>
      <c r="M31" s="32">
        <f t="shared" si="5"/>
        <v>164399.99999999997</v>
      </c>
    </row>
    <row r="32" spans="1:13" ht="6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ht="12.75">
      <c r="A33" s="23" t="s">
        <v>76</v>
      </c>
      <c r="B33" s="7">
        <f>IF(MONTH(B$3)&gt;=MONTH(Informacion!$D32),MIN(Informacion!$B32*(MONTH(B$3)-MONTH(Informacion!$D32)+1)/(12-MONTH(Informacion!$D32)+1),Tablas!$M$6*B$31),0)</f>
        <v>433.0833333333333</v>
      </c>
      <c r="C33" s="7">
        <f>IF(MONTH(C$3)&gt;=MONTH(Informacion!$D32),MIN(Informacion!$B32*(MONTH(C$3)-MONTH(Informacion!$D32)+1)/(12-MONTH(Informacion!$D32)+1),Tablas!$M$6*C$31),0)</f>
        <v>866.1666666666666</v>
      </c>
      <c r="D33" s="7">
        <f>IF(MONTH(D$3)&gt;=MONTH(Informacion!$D32),MIN(Informacion!$B32*(MONTH(D$3)-MONTH(Informacion!$D32)+1)/(12-MONTH(Informacion!$D32)+1),Tablas!$M$6*D$31),0)</f>
        <v>1299.25</v>
      </c>
      <c r="E33" s="7">
        <f>IF(MONTH(E$3)&gt;=MONTH(Informacion!$D32),MIN(Informacion!$B32*(MONTH(E$3)-MONTH(Informacion!$D32)+1)/(12-MONTH(Informacion!$D32)+1),Tablas!$M$6*E$31),0)</f>
        <v>1732.3333333333333</v>
      </c>
      <c r="F33" s="7">
        <f>IF(MONTH(F$3)&gt;=MONTH(Informacion!$D32),MIN(Informacion!$B32*(MONTH(F$3)-MONTH(Informacion!$D32)+1)/(12-MONTH(Informacion!$D32)+1),Tablas!$M$6*F$31),0)</f>
        <v>2165.4166666666665</v>
      </c>
      <c r="G33" s="7">
        <f>IF(MONTH(G$3)&gt;=MONTH(Informacion!$D32),MIN(Informacion!$B32*(MONTH(G$3)-MONTH(Informacion!$D32)+1)/(12-MONTH(Informacion!$D32)+1),Tablas!$M$6*G$31),0)</f>
        <v>2598.5</v>
      </c>
      <c r="H33" s="7">
        <f>IF(MONTH(H$3)&gt;=MONTH(Informacion!$D32),MIN(Informacion!$B32*(MONTH(H$3)-MONTH(Informacion!$D32)+1)/(12-MONTH(Informacion!$D32)+1),Tablas!$M$6*H$31),0)</f>
        <v>3031.5833333333335</v>
      </c>
      <c r="I33" s="7">
        <f>IF(MONTH(I$3)&gt;=MONTH(Informacion!$D32),MIN(Informacion!$B32*(MONTH(I$3)-MONTH(Informacion!$D32)+1)/(12-MONTH(Informacion!$D32)+1),Tablas!$M$6*I$31),0)</f>
        <v>3464.6666666666665</v>
      </c>
      <c r="J33" s="7">
        <f>IF(MONTH(J$3)&gt;=MONTH(Informacion!$D32),MIN(Informacion!$B32*(MONTH(J$3)-MONTH(Informacion!$D32)+1)/(12-MONTH(Informacion!$D32)+1),Tablas!$M$6*J$31),0)</f>
        <v>3897.75</v>
      </c>
      <c r="K33" s="7">
        <f>IF(MONTH(K$3)&gt;=MONTH(Informacion!$D32),MIN(Informacion!$B32*(MONTH(K$3)-MONTH(Informacion!$D32)+1)/(12-MONTH(Informacion!$D32)+1),Tablas!$M$6*K$31),0)</f>
        <v>4330.833333333333</v>
      </c>
      <c r="L33" s="7">
        <f>IF(MONTH(L$3)&gt;=MONTH(Informacion!$D32),MIN(Informacion!$B32*(MONTH(L$3)-MONTH(Informacion!$D32)+1)/(12-MONTH(Informacion!$D32)+1),Tablas!$M$6*L$31),0)</f>
        <v>4763.916666666667</v>
      </c>
      <c r="M33" s="37">
        <f>IF(MONTH(M$3)&gt;=MONTH(Informacion!$D32),MIN(Informacion!$B32*(MONTH(M$3)-MONTH(Informacion!$D32)+1)/(12-MONTH(Informacion!$D32)+1),Tablas!$M$6*M$31),0)</f>
        <v>5197</v>
      </c>
    </row>
    <row r="34" spans="1:13" ht="12.75">
      <c r="A34" s="23" t="s">
        <v>77</v>
      </c>
      <c r="B34" s="7">
        <f>IF(MONTH(B$3)&gt;=MONTH(Informacion!$D33),MIN(Informacion!$B33*(MONTH(B$3)-MONTH(Informacion!$D33)+1)/(12-MONTH(Informacion!$D33)+1),Tablas!$M$8*B$31),0)</f>
        <v>0</v>
      </c>
      <c r="C34" s="7">
        <f>IF(MONTH(C$3)&gt;=MONTH(Informacion!$D33),MIN(Informacion!$B33*(MONTH(C$3)-MONTH(Informacion!$D33)+1)/(12-MONTH(Informacion!$D33)+1),Tablas!$M$8*C$31),0)</f>
        <v>0</v>
      </c>
      <c r="D34" s="7">
        <f>IF(MONTH(D$3)&gt;=MONTH(Informacion!$D33),MIN(Informacion!$B33*(MONTH(D$3)-MONTH(Informacion!$D33)+1)/(12-MONTH(Informacion!$D33)+1),Tablas!$M$8*D$31),0)</f>
        <v>0</v>
      </c>
      <c r="E34" s="7">
        <f>IF(MONTH(E$3)&gt;=MONTH(Informacion!$D33),MIN(Informacion!$B33*(MONTH(E$3)-MONTH(Informacion!$D33)+1)/(12-MONTH(Informacion!$D33)+1),Tablas!$M$8*E$31),0)</f>
        <v>0</v>
      </c>
      <c r="F34" s="7">
        <f>IF(MONTH(F$3)&gt;=MONTH(Informacion!$D33),MIN(Informacion!$B33*(MONTH(F$3)-MONTH(Informacion!$D33)+1)/(12-MONTH(Informacion!$D33)+1),Tablas!$M$8*F$31),0)</f>
        <v>0</v>
      </c>
      <c r="G34" s="7">
        <f>IF(MONTH(G$3)&gt;=MONTH(Informacion!$D33),MIN(Informacion!$B33*(MONTH(G$3)-MONTH(Informacion!$D33)+1)/(12-MONTH(Informacion!$D33)+1),Tablas!$M$8*G$31),0)</f>
        <v>0</v>
      </c>
      <c r="H34" s="7">
        <f>IF(MONTH(H$3)&gt;=MONTH(Informacion!$D33),MIN(Informacion!$B33*(MONTH(H$3)-MONTH(Informacion!$D33)+1)/(12-MONTH(Informacion!$D33)+1),Tablas!$M$8*H$31),0)</f>
        <v>0</v>
      </c>
      <c r="I34" s="7">
        <f>IF(MONTH(I$3)&gt;=MONTH(Informacion!$D33),MIN(Informacion!$B33*(MONTH(I$3)-MONTH(Informacion!$D33)+1)/(12-MONTH(Informacion!$D33)+1),Tablas!$M$8*I$31),0)</f>
        <v>0</v>
      </c>
      <c r="J34" s="7">
        <f>IF(MONTH(J$3)&gt;=MONTH(Informacion!$D33),MIN(Informacion!$B33*(MONTH(J$3)-MONTH(Informacion!$D33)+1)/(12-MONTH(Informacion!$D33)+1),Tablas!$M$8*J$31),0)</f>
        <v>0</v>
      </c>
      <c r="K34" s="7">
        <f>IF(MONTH(K$3)&gt;=MONTH(Informacion!$D33),MIN(Informacion!$B33*(MONTH(K$3)-MONTH(Informacion!$D33)+1)/(12-MONTH(Informacion!$D33)+1),Tablas!$M$8*K$31),0)</f>
        <v>0</v>
      </c>
      <c r="L34" s="7">
        <f>IF(MONTH(L$3)&gt;=MONTH(Informacion!$D33),MIN(Informacion!$B33*(MONTH(L$3)-MONTH(Informacion!$D33)+1)/(12-MONTH(Informacion!$D33)+1),Tablas!$M$8*L$31),0)</f>
        <v>0</v>
      </c>
      <c r="M34" s="37">
        <f>IF(MONTH(M$3)&gt;=MONTH(Informacion!$D33),MIN(Informacion!$B33*(MONTH(M$3)-MONTH(Informacion!$D33)+1)/(12-MONTH(Informacion!$D33)+1),Tablas!$M$8*M$31),0)</f>
        <v>0</v>
      </c>
    </row>
    <row r="35" spans="1:13" ht="12.75">
      <c r="A35" s="23" t="s">
        <v>78</v>
      </c>
      <c r="B35" s="7">
        <f>IF(MONTH(B$3)&gt;=MONTH(Informacion!$D34),MIN(Informacion!$B34*(MONTH(B$3)-MONTH(Informacion!$D34)+1)/(12-MONTH(Informacion!$D34)+1),Tablas!$M$9*B$31),0)</f>
        <v>0</v>
      </c>
      <c r="C35" s="7">
        <f>IF(MONTH(C$3)&gt;=MONTH(Informacion!$D34),MIN(Informacion!$B34*(MONTH(C$3)-MONTH(Informacion!$D34)+1)/(12-MONTH(Informacion!$D34)+1),Tablas!$M$9*C$31),0)</f>
        <v>0</v>
      </c>
      <c r="D35" s="7">
        <f>IF(MONTH(D$3)&gt;=MONTH(Informacion!$D34),MIN(Informacion!$B34*(MONTH(D$3)-MONTH(Informacion!$D34)+1)/(12-MONTH(Informacion!$D34)+1),Tablas!$M$9*D$31),0)</f>
        <v>0</v>
      </c>
      <c r="E35" s="7">
        <f>IF(MONTH(E$3)&gt;=MONTH(Informacion!$D34),MIN(Informacion!$B34*(MONTH(E$3)-MONTH(Informacion!$D34)+1)/(12-MONTH(Informacion!$D34)+1),Tablas!$M$9*E$31),0)</f>
        <v>0</v>
      </c>
      <c r="F35" s="7">
        <f>IF(MONTH(F$3)&gt;=MONTH(Informacion!$D34),MIN(Informacion!$B34*(MONTH(F$3)-MONTH(Informacion!$D34)+1)/(12-MONTH(Informacion!$D34)+1),Tablas!$M$9*F$31),0)</f>
        <v>0</v>
      </c>
      <c r="G35" s="7">
        <f>IF(MONTH(G$3)&gt;=MONTH(Informacion!$D34),MIN(Informacion!$B34*(MONTH(G$3)-MONTH(Informacion!$D34)+1)/(12-MONTH(Informacion!$D34)+1),Tablas!$M$9*G$31),0)</f>
        <v>0</v>
      </c>
      <c r="H35" s="7">
        <f>IF(MONTH(H$3)&gt;=MONTH(Informacion!$D34),MIN(Informacion!$B34*(MONTH(H$3)-MONTH(Informacion!$D34)+1)/(12-MONTH(Informacion!$D34)+1),Tablas!$M$9*H$31),0)</f>
        <v>0</v>
      </c>
      <c r="I35" s="7">
        <f>IF(MONTH(I$3)&gt;=MONTH(Informacion!$D34),MIN(Informacion!$B34*(MONTH(I$3)-MONTH(Informacion!$D34)+1)/(12-MONTH(Informacion!$D34)+1),Tablas!$M$9*I$31),0)</f>
        <v>0</v>
      </c>
      <c r="J35" s="7">
        <f>IF(MONTH(J$3)&gt;=MONTH(Informacion!$D34),MIN(Informacion!$B34*(MONTH(J$3)-MONTH(Informacion!$D34)+1)/(12-MONTH(Informacion!$D34)+1),Tablas!$M$9*J$31),0)</f>
        <v>0</v>
      </c>
      <c r="K35" s="7">
        <f>IF(MONTH(K$3)&gt;=MONTH(Informacion!$D34),MIN(Informacion!$B34*(MONTH(K$3)-MONTH(Informacion!$D34)+1)/(12-MONTH(Informacion!$D34)+1),Tablas!$M$9*K$31),0)</f>
        <v>0</v>
      </c>
      <c r="L35" s="7">
        <f>IF(MONTH(L$3)&gt;=MONTH(Informacion!$D34),MIN(Informacion!$B34*(MONTH(L$3)-MONTH(Informacion!$D34)+1)/(12-MONTH(Informacion!$D34)+1),Tablas!$M$9*L$31),0)</f>
        <v>0</v>
      </c>
      <c r="M35" s="37">
        <f>IF(MONTH(M$3)&gt;=MONTH(Informacion!$D34),MIN(Informacion!$B34*(MONTH(M$3)-MONTH(Informacion!$D34)+1)/(12-MONTH(Informacion!$D34)+1),Tablas!$M$9*M$31),0)</f>
        <v>0</v>
      </c>
    </row>
    <row r="36" spans="1:13" ht="12.75">
      <c r="A36" s="33" t="s">
        <v>43</v>
      </c>
      <c r="B36" s="31">
        <f>SUM(B33:B35)</f>
        <v>433.0833333333333</v>
      </c>
      <c r="C36" s="31">
        <f aca="true" t="shared" si="6" ref="C36:M36">SUM(C33:C35)</f>
        <v>866.1666666666666</v>
      </c>
      <c r="D36" s="31">
        <f t="shared" si="6"/>
        <v>1299.25</v>
      </c>
      <c r="E36" s="31">
        <f t="shared" si="6"/>
        <v>1732.3333333333333</v>
      </c>
      <c r="F36" s="31">
        <f t="shared" si="6"/>
        <v>2165.4166666666665</v>
      </c>
      <c r="G36" s="31">
        <f t="shared" si="6"/>
        <v>2598.5</v>
      </c>
      <c r="H36" s="31">
        <f t="shared" si="6"/>
        <v>3031.5833333333335</v>
      </c>
      <c r="I36" s="31">
        <f t="shared" si="6"/>
        <v>3464.6666666666665</v>
      </c>
      <c r="J36" s="31">
        <f t="shared" si="6"/>
        <v>3897.75</v>
      </c>
      <c r="K36" s="31">
        <f t="shared" si="6"/>
        <v>4330.833333333333</v>
      </c>
      <c r="L36" s="31">
        <f t="shared" si="6"/>
        <v>4763.916666666667</v>
      </c>
      <c r="M36" s="32">
        <f t="shared" si="6"/>
        <v>5197</v>
      </c>
    </row>
    <row r="37" spans="1:13" ht="8.2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2.75">
      <c r="A38" s="30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6"/>
    </row>
    <row r="39" spans="1:13" ht="12.75">
      <c r="A39" s="38" t="s">
        <v>29</v>
      </c>
      <c r="B39" s="107">
        <f>Tablas!$D$3/12</f>
        <v>1080</v>
      </c>
      <c r="C39" s="107">
        <f>B39+Tablas!$D$3/12</f>
        <v>2160</v>
      </c>
      <c r="D39" s="107">
        <f>C39+Tablas!$E$3/12</f>
        <v>3456</v>
      </c>
      <c r="E39" s="107">
        <f>D39+Tablas!$E$3/12</f>
        <v>4752</v>
      </c>
      <c r="F39" s="107">
        <f>E39+Tablas!$E$3/12</f>
        <v>6048</v>
      </c>
      <c r="G39" s="107">
        <f>F39+Tablas!$E$3/12</f>
        <v>7344</v>
      </c>
      <c r="H39" s="107">
        <f>G39+Tablas!$E$3/12</f>
        <v>8640</v>
      </c>
      <c r="I39" s="107">
        <f>H39+Tablas!$E$3/12</f>
        <v>9936</v>
      </c>
      <c r="J39" s="107">
        <f>I39+Tablas!$E$3/12</f>
        <v>11232</v>
      </c>
      <c r="K39" s="107">
        <f>J39+Tablas!$E$3/12</f>
        <v>12528</v>
      </c>
      <c r="L39" s="107">
        <f>K39+Tablas!$E$3/12</f>
        <v>13824</v>
      </c>
      <c r="M39" s="108">
        <f>L39+Tablas!$E$3/12</f>
        <v>15120</v>
      </c>
    </row>
    <row r="40" spans="1:13" ht="12.75">
      <c r="A40" s="38" t="s">
        <v>31</v>
      </c>
      <c r="B40" s="107">
        <f>IF(AND(Informacion!$G$29="SÍ",MONTH(Informacion!$I29)&lt;=MONTH(B$3),(MONTH(Informacion!$K29-30)&gt;=MONTH(B$3))),Tablas!$D$4*MONTH(B$3)/12,0)</f>
        <v>1200</v>
      </c>
      <c r="C40" s="107">
        <f>IF(AND(Informacion!$G$29="SÍ",MONTH(Informacion!$I29)&lt;=MONTH(C$3),(MONTH(Informacion!$K29-30)&gt;=MONTH(C$3))),Tablas!$D$4*MONTH(C$3)/12,B40)</f>
        <v>2400</v>
      </c>
      <c r="D40" s="107">
        <f>IF(C40&gt;0,C40+Tablas!$E$4/12,0)</f>
        <v>3840</v>
      </c>
      <c r="E40" s="107">
        <f>IF(D40&gt;0,D40+Tablas!$E$4/12,0)</f>
        <v>5280</v>
      </c>
      <c r="F40" s="107">
        <f>IF(E40&gt;0,E40+Tablas!$E$4/12,0)</f>
        <v>6720</v>
      </c>
      <c r="G40" s="107">
        <f>IF(F40&gt;0,F40+Tablas!$E$4/12,0)</f>
        <v>8160</v>
      </c>
      <c r="H40" s="107">
        <f>IF(G40&gt;0,G40+Tablas!$E$4/12,0)</f>
        <v>9600</v>
      </c>
      <c r="I40" s="107">
        <f>IF(H40&gt;0,H40+Tablas!$E$4/12,0)</f>
        <v>11040</v>
      </c>
      <c r="J40" s="107">
        <f>IF(I40&gt;0,I40+Tablas!$E$4/12,0)</f>
        <v>12480</v>
      </c>
      <c r="K40" s="107">
        <f>IF(J40&gt;0,J40+Tablas!$E$4/12,0)</f>
        <v>13920</v>
      </c>
      <c r="L40" s="107">
        <f>IF(K40&gt;0,K40+Tablas!$E$4/12,0)</f>
        <v>15360</v>
      </c>
      <c r="M40" s="108">
        <f>IF(L40&gt;0,L40+Tablas!$E$4/12,0)</f>
        <v>16800</v>
      </c>
    </row>
    <row r="41" spans="1:13" ht="12.75">
      <c r="A41" s="38" t="s">
        <v>32</v>
      </c>
      <c r="B41" s="107">
        <f>IF(AND(MONTH(Informacion!$I30)&lt;=MONTH(B$3),(MONTH(Informacion!$K30-30)&gt;=MONTH(B$3))),Tablas!$D$5*Informacion!$G$30*MONTH(B$3)/12,0)</f>
        <v>0</v>
      </c>
      <c r="C41" s="107">
        <f>IF(AND(MONTH(Informacion!$I30)&lt;=MONTH(C$3),(MONTH(Informacion!$K30-30)&gt;=MONTH(C$3))),Tablas!$D$5*Informacion!$G$30*MONTH(C$3)/12,B41)</f>
        <v>0</v>
      </c>
      <c r="D41" s="107">
        <f>IF(C41&gt;0,C41+Tablas!$E$5/12*Informacion!$G$30,0)</f>
        <v>0</v>
      </c>
      <c r="E41" s="107">
        <f>IF(D41&gt;0,D41+Tablas!$E$5/12*Informacion!$G$30,0)</f>
        <v>0</v>
      </c>
      <c r="F41" s="107">
        <f>IF(E41&gt;0,E41+Tablas!$E$5/12*Informacion!$G$30,0)</f>
        <v>0</v>
      </c>
      <c r="G41" s="107">
        <f>IF(F41&gt;0,F41+Tablas!$E$5/12*Informacion!$G$30,0)</f>
        <v>0</v>
      </c>
      <c r="H41" s="107">
        <f>IF(G41&gt;0,G41+Tablas!$E$5/12*Informacion!$G$30,0)</f>
        <v>0</v>
      </c>
      <c r="I41" s="107">
        <f>IF(H41&gt;0,H41+Tablas!$E$5/12*Informacion!$G$30,0)</f>
        <v>0</v>
      </c>
      <c r="J41" s="107">
        <f>IF(I41&gt;0,I41+Tablas!$E$5/12*Informacion!$G$30,0)</f>
        <v>0</v>
      </c>
      <c r="K41" s="107">
        <f>IF(J41&gt;0,J41+Tablas!$E$5/12*Informacion!$G$30,0)</f>
        <v>0</v>
      </c>
      <c r="L41" s="107">
        <f>IF(K41&gt;0,K41+Tablas!$E$5/12*Informacion!$G$30,0)</f>
        <v>0</v>
      </c>
      <c r="M41" s="108">
        <f>IF(L41&gt;0,L41+Tablas!$E$5/12*Informacion!$G$30,0)</f>
        <v>0</v>
      </c>
    </row>
    <row r="42" spans="1:13" ht="12.75">
      <c r="A42" s="38" t="s">
        <v>39</v>
      </c>
      <c r="B42" s="107">
        <f>IF(AND(Informacion!$G$31="SÍ",MONTH(Informacion!$I31)&lt;=MONTH(B$3),(MONTH(Informacion!$K31-30)&gt;=MONTH(B$3))),Tablas!$D$6*MONTH(B$3)/12,0)</f>
        <v>0</v>
      </c>
      <c r="C42" s="107">
        <f>IF(AND(Informacion!$G$31="SÍ",MONTH(Informacion!$I31)&lt;=MONTH(C$3),(MONTH(Informacion!$K31-30)&gt;=MONTH(C$3))),Tablas!$D$6*MONTH(C$3)/12,B42)</f>
        <v>0</v>
      </c>
      <c r="D42" s="107">
        <f>IF(C42&gt;0,C42+Tablas!$E$6/12,0)</f>
        <v>0</v>
      </c>
      <c r="E42" s="107">
        <f>IF(D42&gt;0,D42+Tablas!$E$6/12,0)</f>
        <v>0</v>
      </c>
      <c r="F42" s="107">
        <f>IF(E42&gt;0,E42+Tablas!$E$6/12,0)</f>
        <v>0</v>
      </c>
      <c r="G42" s="107">
        <f>IF(F42&gt;0,F42+Tablas!$E$6/12,0)</f>
        <v>0</v>
      </c>
      <c r="H42" s="107">
        <f>IF(G42&gt;0,G42+Tablas!$E$6/12,0)</f>
        <v>0</v>
      </c>
      <c r="I42" s="107">
        <f>IF(H42&gt;0,H42+Tablas!$E$6/12,0)</f>
        <v>0</v>
      </c>
      <c r="J42" s="107">
        <f>IF(I42&gt;0,I42+Tablas!$E$6/12,0)</f>
        <v>0</v>
      </c>
      <c r="K42" s="107">
        <f>IF(J42&gt;0,J42+Tablas!$E$6/12,0)</f>
        <v>0</v>
      </c>
      <c r="L42" s="107">
        <f>IF(K42&gt;0,K42+Tablas!$E$6/12,0)</f>
        <v>0</v>
      </c>
      <c r="M42" s="108">
        <f>IF(L42&gt;0,L42+Tablas!$E$6/12,0)</f>
        <v>0</v>
      </c>
    </row>
    <row r="43" spans="1:13" ht="12.75">
      <c r="A43" s="38" t="s">
        <v>40</v>
      </c>
      <c r="B43" s="107">
        <f>IF(AND(Informacion!$G$32="SÍ",MONTH(Informacion!$I32)&lt;=MONTH(B$3),(MONTH(Informacion!$K32-30)&gt;=MONTH(B$3))),Tablas!$D$6*MONTH(B$3)/12,0)</f>
        <v>0</v>
      </c>
      <c r="C43" s="107">
        <f>IF(AND(Informacion!$G$32="SÍ",MONTH(Informacion!$I32)&lt;=MONTH(C$3),(MONTH(Informacion!$K32-30)&gt;=MONTH(C$3))),Tablas!$D$6*MONTH(C$3)/12,B43)</f>
        <v>0</v>
      </c>
      <c r="D43" s="107">
        <f>IF(C43&gt;0,C43+Tablas!$E$6/12,0)</f>
        <v>0</v>
      </c>
      <c r="E43" s="107">
        <f>IF(D43&gt;0,D43+Tablas!$E$6/12,0)</f>
        <v>0</v>
      </c>
      <c r="F43" s="107">
        <f>IF(E43&gt;0,E43+Tablas!$E$6/12,0)</f>
        <v>0</v>
      </c>
      <c r="G43" s="107">
        <f>IF(F43&gt;0,F43+Tablas!$E$6/12,0)</f>
        <v>0</v>
      </c>
      <c r="H43" s="107">
        <f>IF(G43&gt;0,G43+Tablas!$E$6/12,0)</f>
        <v>0</v>
      </c>
      <c r="I43" s="107">
        <f>IF(H43&gt;0,H43+Tablas!$E$6/12,0)</f>
        <v>0</v>
      </c>
      <c r="J43" s="107">
        <f>IF(I43&gt;0,I43+Tablas!$E$6/12,0)</f>
        <v>0</v>
      </c>
      <c r="K43" s="107">
        <f>IF(J43&gt;0,J43+Tablas!$E$6/12,0)</f>
        <v>0</v>
      </c>
      <c r="L43" s="107">
        <f>IF(K43&gt;0,K43+Tablas!$E$6/12,0)</f>
        <v>0</v>
      </c>
      <c r="M43" s="108">
        <f>IF(L43&gt;0,L43+Tablas!$E$6/12,0)</f>
        <v>0</v>
      </c>
    </row>
    <row r="44" spans="1:13" ht="12.75">
      <c r="A44" s="38" t="s">
        <v>67</v>
      </c>
      <c r="B44" s="107">
        <f>IF(AND(MONTH(Informacion!$I33)&lt;=MONTH(B$3),(MONTH(Informacion!$K33-30)&gt;=MONTH(B$3))),Tablas!$D$6*Informacion!$G$33*MONTH(B$3)/12,0)</f>
        <v>0</v>
      </c>
      <c r="C44" s="107">
        <f>IF(AND(MONTH(Informacion!$I33)&lt;=MONTH(C$3),(MONTH(Informacion!$K33-30)&gt;=MONTH(C$3))),Tablas!$D$6*Informacion!$G$33*MONTH(C$3)/12,B44)</f>
        <v>0</v>
      </c>
      <c r="D44" s="107">
        <f>IF(C44&gt;0,C44+Tablas!$E$6/12*Informacion!$G$33,0)</f>
        <v>0</v>
      </c>
      <c r="E44" s="107">
        <f>IF(D44&gt;0,D44+Tablas!$E$6/12*Informacion!$G$33,0)</f>
        <v>0</v>
      </c>
      <c r="F44" s="107">
        <f>IF(E44&gt;0,E44+Tablas!$E$6/12*Informacion!$G$33,0)</f>
        <v>0</v>
      </c>
      <c r="G44" s="107">
        <f>IF(F44&gt;0,F44+Tablas!$E$6/12*Informacion!$G$33,0)</f>
        <v>0</v>
      </c>
      <c r="H44" s="107">
        <f>IF(G44&gt;0,G44+Tablas!$E$6/12*Informacion!$G$33,0)</f>
        <v>0</v>
      </c>
      <c r="I44" s="107">
        <f>IF(H44&gt;0,H44+Tablas!$E$6/12*Informacion!$G$33,0)</f>
        <v>0</v>
      </c>
      <c r="J44" s="107">
        <f>IF(I44&gt;0,I44+Tablas!$E$6/12*Informacion!$G$33,0)</f>
        <v>0</v>
      </c>
      <c r="K44" s="107">
        <f>IF(J44&gt;0,J44+Tablas!$E$6/12*Informacion!$G$33,0)</f>
        <v>0</v>
      </c>
      <c r="L44" s="107">
        <f>IF(K44&gt;0,K44+Tablas!$E$6/12*Informacion!$G$33,0)</f>
        <v>0</v>
      </c>
      <c r="M44" s="108">
        <f>IF(L44&gt;0,L44+Tablas!$E$6/12*Informacion!$G$33,0)</f>
        <v>0</v>
      </c>
    </row>
    <row r="45" spans="1:13" ht="12.75">
      <c r="A45" s="38" t="s">
        <v>33</v>
      </c>
      <c r="B45" s="107">
        <f>(Tablas!$D$7/12)</f>
        <v>5184</v>
      </c>
      <c r="C45" s="107">
        <f>B45+(Tablas!$D$7/12)</f>
        <v>10368</v>
      </c>
      <c r="D45" s="107">
        <f>C45+(Tablas!$E$7/12)</f>
        <v>16588.833333333332</v>
      </c>
      <c r="E45" s="107">
        <f>D45+(Tablas!$E$7/12)</f>
        <v>22809.666666666664</v>
      </c>
      <c r="F45" s="107">
        <f>E45+(Tablas!$E$7/12)</f>
        <v>29030.499999999996</v>
      </c>
      <c r="G45" s="107">
        <f>F45+(Tablas!$E$7/12)</f>
        <v>35251.33333333333</v>
      </c>
      <c r="H45" s="107">
        <f>G45+(Tablas!$E$7/12)</f>
        <v>41472.166666666664</v>
      </c>
      <c r="I45" s="107">
        <f>H45+(Tablas!$E$7/12)</f>
        <v>47693</v>
      </c>
      <c r="J45" s="107">
        <f>I45+(Tablas!$E$7/12)</f>
        <v>53913.833333333336</v>
      </c>
      <c r="K45" s="107">
        <f>J45+(Tablas!$E$7/12)</f>
        <v>60134.66666666667</v>
      </c>
      <c r="L45" s="107">
        <f>K45+(Tablas!$E$7/12)</f>
        <v>66355.5</v>
      </c>
      <c r="M45" s="108">
        <f>L45+(Tablas!$E$7/12)</f>
        <v>72576.33333333333</v>
      </c>
    </row>
    <row r="46" spans="1:13" ht="12.75">
      <c r="A46" s="23" t="s">
        <v>34</v>
      </c>
      <c r="B46" s="31">
        <f aca="true" t="shared" si="7" ref="B46:M46">SUM(B39:B45)</f>
        <v>7464</v>
      </c>
      <c r="C46" s="31">
        <f t="shared" si="7"/>
        <v>14928</v>
      </c>
      <c r="D46" s="31">
        <f t="shared" si="7"/>
        <v>23884.833333333332</v>
      </c>
      <c r="E46" s="31">
        <f t="shared" si="7"/>
        <v>32841.666666666664</v>
      </c>
      <c r="F46" s="31">
        <f t="shared" si="7"/>
        <v>41798.5</v>
      </c>
      <c r="G46" s="31">
        <f t="shared" si="7"/>
        <v>50755.33333333333</v>
      </c>
      <c r="H46" s="31">
        <f t="shared" si="7"/>
        <v>59712.166666666664</v>
      </c>
      <c r="I46" s="31">
        <f t="shared" si="7"/>
        <v>68669</v>
      </c>
      <c r="J46" s="31">
        <f t="shared" si="7"/>
        <v>77625.83333333334</v>
      </c>
      <c r="K46" s="31">
        <f t="shared" si="7"/>
        <v>86582.66666666667</v>
      </c>
      <c r="L46" s="31">
        <f t="shared" si="7"/>
        <v>95539.5</v>
      </c>
      <c r="M46" s="32">
        <f t="shared" si="7"/>
        <v>104496.33333333333</v>
      </c>
    </row>
    <row r="47" spans="1:13" ht="12.75">
      <c r="A47" s="40" t="s">
        <v>72</v>
      </c>
      <c r="B47" s="24">
        <v>1</v>
      </c>
      <c r="C47" s="24">
        <v>1</v>
      </c>
      <c r="D47" s="24">
        <v>1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41">
        <v>1</v>
      </c>
    </row>
    <row r="48" spans="1:13" ht="12.75">
      <c r="A48" s="23" t="s">
        <v>35</v>
      </c>
      <c r="B48" s="31">
        <f aca="true" t="shared" si="8" ref="B48:M48">B46*B47</f>
        <v>7464</v>
      </c>
      <c r="C48" s="31">
        <f t="shared" si="8"/>
        <v>14928</v>
      </c>
      <c r="D48" s="31">
        <f t="shared" si="8"/>
        <v>23884.833333333332</v>
      </c>
      <c r="E48" s="31">
        <f t="shared" si="8"/>
        <v>32841.666666666664</v>
      </c>
      <c r="F48" s="31">
        <f t="shared" si="8"/>
        <v>41798.5</v>
      </c>
      <c r="G48" s="31">
        <f t="shared" si="8"/>
        <v>50755.33333333333</v>
      </c>
      <c r="H48" s="31">
        <f t="shared" si="8"/>
        <v>59712.166666666664</v>
      </c>
      <c r="I48" s="31">
        <f t="shared" si="8"/>
        <v>68669</v>
      </c>
      <c r="J48" s="31">
        <f t="shared" si="8"/>
        <v>77625.83333333334</v>
      </c>
      <c r="K48" s="31">
        <f t="shared" si="8"/>
        <v>86582.66666666667</v>
      </c>
      <c r="L48" s="31">
        <f t="shared" si="8"/>
        <v>95539.5</v>
      </c>
      <c r="M48" s="32">
        <f t="shared" si="8"/>
        <v>104496.33333333333</v>
      </c>
    </row>
    <row r="49" spans="1:13" ht="6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2.75">
      <c r="A50" s="23" t="s">
        <v>46</v>
      </c>
      <c r="B50" s="7">
        <f>B31-B36-B48</f>
        <v>4552.916666666666</v>
      </c>
      <c r="C50" s="7">
        <f>C31-C36-C48</f>
        <v>9105.833333333332</v>
      </c>
      <c r="D50" s="7">
        <f aca="true" t="shared" si="9" ref="D50:M50">D31-D36-D48</f>
        <v>12165.916666666668</v>
      </c>
      <c r="E50" s="7">
        <f>E31-E36-E48</f>
        <v>15226</v>
      </c>
      <c r="F50" s="7">
        <f>F31-F36-F48</f>
        <v>18286.083333333336</v>
      </c>
      <c r="G50" s="7">
        <f t="shared" si="9"/>
        <v>22417.595238095237</v>
      </c>
      <c r="H50" s="7">
        <f t="shared" si="9"/>
        <v>26549.107142857138</v>
      </c>
      <c r="I50" s="7">
        <f t="shared" si="9"/>
        <v>30680.619047619024</v>
      </c>
      <c r="J50" s="7">
        <f t="shared" si="9"/>
        <v>34812.13095238092</v>
      </c>
      <c r="K50" s="7">
        <f t="shared" si="9"/>
        <v>38943.642857142826</v>
      </c>
      <c r="L50" s="7">
        <f t="shared" si="9"/>
        <v>43075.154761904734</v>
      </c>
      <c r="M50" s="37">
        <f t="shared" si="9"/>
        <v>54706.66666666664</v>
      </c>
    </row>
    <row r="51" spans="1:14" ht="12.75">
      <c r="A51" s="23" t="s">
        <v>47</v>
      </c>
      <c r="B51" s="7">
        <f>VLOOKUP(B50,Tablas!B$25:$O$31,13-MONTH(B3)+1)*MONTH(B3)/12+(B50-VLOOKUP(B50,Tablas!B$25:$O$31,1))*VLOOKUP(B50,Tablas!B$25:$O$31,14-MONTH(B3)+1)</f>
        <v>822.1708333333332</v>
      </c>
      <c r="C51" s="7">
        <f>VLOOKUP(C50,Tablas!C$25:$O$31,13-MONTH(C3)+1)*MONTH(C3)/12+(C50-VLOOKUP(C50,Tablas!C$25:$O$31,1))*VLOOKUP(C50,Tablas!C$25:$O$31,14-MONTH(C3)+1)</f>
        <v>1644.3416666666665</v>
      </c>
      <c r="D51" s="7">
        <f>VLOOKUP(D50,Tablas!D$25:$O$31,13-MONTH(D3)+1)*MONTH(D3)/12+(D50-VLOOKUP(D50,Tablas!D$25:$O$31,1))*VLOOKUP(D50,Tablas!D$25:$O$31,14-MONTH(D3)+1)</f>
        <v>2123.1608333333334</v>
      </c>
      <c r="E51" s="7">
        <f>VLOOKUP(E50,Tablas!E$25:$O$31,13-MONTH(E3)+1)*MONTH(E3)/12+(E50-VLOOKUP(E50,Tablas!E$25:$O$31,1))*VLOOKUP(E50,Tablas!E$25:$O$31,14-MONTH(E3)+1)</f>
        <v>2601.98</v>
      </c>
      <c r="F51" s="7">
        <f>VLOOKUP(F50,Tablas!F$25:$O$31,13-MONTH(F3)+1)*MONTH(F3)/12+(F50-VLOOKUP(F50,Tablas!F$25:$O$31,1))*VLOOKUP(F50,Tablas!F$25:$O$31,14-MONTH(F3)+1)</f>
        <v>3080.7991666666676</v>
      </c>
      <c r="G51" s="7">
        <f>VLOOKUP(G50,Tablas!G$25:$O$31,13-MONTH(G3)+1)*MONTH(G3)/12+(G50-VLOOKUP(G50,Tablas!G$25:$O$31,1))*VLOOKUP(G50,Tablas!G$25:$O$31,14-MONTH(G3)+1)</f>
        <v>3806.0469047619044</v>
      </c>
      <c r="H51" s="7">
        <f>VLOOKUP(H50,Tablas!H$25:$O$31,13-MONTH(H3)+1)*MONTH(H3)/12+(H50-VLOOKUP(H50,Tablas!H$25:$O$31,1))*VLOOKUP(H50,Tablas!H$25:$O$31,14-MONTH(H3)+1)</f>
        <v>4531.294642857141</v>
      </c>
      <c r="I51" s="7">
        <f>VLOOKUP(I50,Tablas!I$25:$O$31,13-MONTH(I3)+1)*MONTH(I3)/12+(I50-VLOOKUP(I50,Tablas!I$25:$O$31,1))*VLOOKUP(I50,Tablas!I$25:$O$31,14-MONTH(I3)+1)</f>
        <v>5256.542380952375</v>
      </c>
      <c r="J51" s="7">
        <f>VLOOKUP(J50,Tablas!J$25:$O$31,13-MONTH(J3)+1)*MONTH(J3)/12+(J50-VLOOKUP(J50,Tablas!J$25:$O$31,1))*VLOOKUP(J50,Tablas!J$25:$O$31,14-MONTH(J3)+1)</f>
        <v>5981.790119047611</v>
      </c>
      <c r="K51" s="7">
        <f>VLOOKUP(K50,Tablas!K$25:$O$31,13-MONTH(K3)+1)*MONTH(K3)/12+(K50-VLOOKUP(K50,Tablas!K$25:$O$31,1))*VLOOKUP(K50,Tablas!K$25:$O$31,14-MONTH(K3)+1)</f>
        <v>6707.03785714285</v>
      </c>
      <c r="L51" s="7">
        <f>VLOOKUP(L50,Tablas!L$25:$O$31,13-MONTH(L3)+1)*MONTH(L3)/12+(L50-VLOOKUP(L50,Tablas!L$25:$O$31,1))*VLOOKUP(L50,Tablas!L$25:$O$31,14-MONTH(L3)+1)</f>
        <v>7432.285595238089</v>
      </c>
      <c r="M51" s="37">
        <f>VLOOKUP(M50,Tablas!M$25:$O$31,13-MONTH(M3)+1)*MONTH(M3)/12+(M50-VLOOKUP(M50,Tablas!M$25:$O$31,1))*VLOOKUP(M50,Tablas!M$25:$O$31,14-MONTH(M3)+1)</f>
        <v>9882.53333333333</v>
      </c>
      <c r="N51" s="8"/>
    </row>
    <row r="52" spans="1:14" ht="13.5" thickBot="1">
      <c r="A52" s="42" t="s">
        <v>49</v>
      </c>
      <c r="B52" s="43">
        <f>IF(B51&lt;0,0,B51)</f>
        <v>822.1708333333332</v>
      </c>
      <c r="C52" s="43">
        <f>IF(C51-B51&lt;0,0,C51-B51)</f>
        <v>822.1708333333332</v>
      </c>
      <c r="D52" s="43">
        <f aca="true" t="shared" si="10" ref="D52:M52">IF(D51-C51&lt;0,0,D51-C51)</f>
        <v>478.8191666666669</v>
      </c>
      <c r="E52" s="43">
        <f>IF(E51-D51&lt;0,0,E51-D51)</f>
        <v>478.81916666666666</v>
      </c>
      <c r="F52" s="43">
        <f>IF(F51-E51&lt;0,0,F51-E51)</f>
        <v>478.81916666666757</v>
      </c>
      <c r="G52" s="43">
        <f t="shared" si="10"/>
        <v>725.2477380952369</v>
      </c>
      <c r="H52" s="43">
        <f t="shared" si="10"/>
        <v>725.2477380952369</v>
      </c>
      <c r="I52" s="43">
        <f t="shared" si="10"/>
        <v>725.2477380952341</v>
      </c>
      <c r="J52" s="43">
        <f t="shared" si="10"/>
        <v>725.247738095236</v>
      </c>
      <c r="K52" s="43">
        <f t="shared" si="10"/>
        <v>725.2477380952387</v>
      </c>
      <c r="L52" s="43">
        <f t="shared" si="10"/>
        <v>725.2477380952387</v>
      </c>
      <c r="M52" s="44">
        <f t="shared" si="10"/>
        <v>2450.2477380952405</v>
      </c>
      <c r="N52" s="8"/>
    </row>
    <row r="53" spans="1:13" ht="12.75">
      <c r="A53" s="2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5"/>
    </row>
    <row r="54" spans="1:13" ht="13.5" thickBot="1">
      <c r="A54" s="42" t="s">
        <v>96</v>
      </c>
      <c r="B54" s="43">
        <f>IF(B51&gt;=0,0,B51)</f>
        <v>0</v>
      </c>
      <c r="C54" s="43">
        <f>IF(C51-B51&gt;=0,0,C51-B51)</f>
        <v>0</v>
      </c>
      <c r="D54" s="43">
        <f aca="true" t="shared" si="11" ref="D54:M54">IF(D51-C51&gt;=0,0,D51-C51)</f>
        <v>0</v>
      </c>
      <c r="E54" s="43">
        <f t="shared" si="11"/>
        <v>0</v>
      </c>
      <c r="F54" s="43">
        <f t="shared" si="11"/>
        <v>0</v>
      </c>
      <c r="G54" s="43">
        <f t="shared" si="11"/>
        <v>0</v>
      </c>
      <c r="H54" s="43">
        <f t="shared" si="11"/>
        <v>0</v>
      </c>
      <c r="I54" s="43">
        <f t="shared" si="11"/>
        <v>0</v>
      </c>
      <c r="J54" s="43">
        <f t="shared" si="11"/>
        <v>0</v>
      </c>
      <c r="K54" s="43">
        <f t="shared" si="11"/>
        <v>0</v>
      </c>
      <c r="L54" s="43">
        <f t="shared" si="11"/>
        <v>0</v>
      </c>
      <c r="M54" s="44">
        <f t="shared" si="11"/>
        <v>0</v>
      </c>
    </row>
    <row r="55" ht="12.75">
      <c r="B55" s="9"/>
    </row>
    <row r="56" spans="3:9" ht="12.75">
      <c r="C56" s="8"/>
      <c r="D56" s="8"/>
      <c r="E56" s="8"/>
      <c r="F56" s="8"/>
      <c r="G56" s="8"/>
      <c r="H56" s="8"/>
      <c r="I56" s="8"/>
    </row>
  </sheetData>
  <sheetProtection/>
  <printOptions/>
  <pageMargins left="0.75" right="0.75" top="1" bottom="1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4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3.00390625" style="0" customWidth="1"/>
  </cols>
  <sheetData>
    <row r="1" ht="13.5" thickBot="1"/>
    <row r="2" spans="2:13" ht="13.5" thickBot="1">
      <c r="B2" s="119" t="s">
        <v>45</v>
      </c>
      <c r="C2" s="119"/>
      <c r="D2" s="119"/>
      <c r="E2" s="106" t="s">
        <v>98</v>
      </c>
      <c r="F2" s="121" t="s">
        <v>74</v>
      </c>
      <c r="G2" s="122"/>
      <c r="H2" s="122"/>
      <c r="I2" s="122"/>
      <c r="J2" s="122"/>
      <c r="K2" s="122"/>
      <c r="L2" s="122"/>
      <c r="M2" s="123"/>
    </row>
    <row r="3" spans="2:13" ht="15" thickBot="1">
      <c r="B3" s="4" t="s">
        <v>29</v>
      </c>
      <c r="C3" s="4"/>
      <c r="D3" s="104">
        <v>12960</v>
      </c>
      <c r="E3" s="104">
        <v>15552</v>
      </c>
      <c r="F3" s="10" t="s">
        <v>55</v>
      </c>
      <c r="G3" s="11"/>
      <c r="H3" s="11"/>
      <c r="I3" s="11"/>
      <c r="J3" s="11"/>
      <c r="K3" s="11"/>
      <c r="L3" s="12"/>
      <c r="M3" s="55">
        <v>996.23</v>
      </c>
    </row>
    <row r="4" spans="2:13" ht="15" thickBot="1">
      <c r="B4" s="5" t="s">
        <v>30</v>
      </c>
      <c r="C4" s="6"/>
      <c r="D4" s="104">
        <v>14400</v>
      </c>
      <c r="E4" s="104">
        <v>17280</v>
      </c>
      <c r="F4" s="13" t="s">
        <v>56</v>
      </c>
      <c r="G4" s="14"/>
      <c r="H4" s="14"/>
      <c r="I4" s="14"/>
      <c r="J4" s="14"/>
      <c r="K4" s="14"/>
      <c r="L4" s="15"/>
      <c r="M4" s="56">
        <v>996.23</v>
      </c>
    </row>
    <row r="5" spans="2:13" ht="15" thickBot="1">
      <c r="B5" s="5" t="s">
        <v>32</v>
      </c>
      <c r="C5" s="6"/>
      <c r="D5" s="104">
        <v>7200</v>
      </c>
      <c r="E5" s="104">
        <v>8640</v>
      </c>
      <c r="F5" s="13" t="s">
        <v>57</v>
      </c>
      <c r="G5" s="14"/>
      <c r="H5" s="14"/>
      <c r="I5" s="14"/>
      <c r="J5" s="14"/>
      <c r="K5" s="14"/>
      <c r="L5" s="15"/>
      <c r="M5" s="56">
        <v>1261.26</v>
      </c>
    </row>
    <row r="6" spans="2:13" ht="15" thickBot="1">
      <c r="B6" s="5" t="s">
        <v>69</v>
      </c>
      <c r="C6" s="6"/>
      <c r="D6" s="104">
        <v>5400</v>
      </c>
      <c r="E6" s="104">
        <v>6480</v>
      </c>
      <c r="F6" s="13" t="s">
        <v>58</v>
      </c>
      <c r="G6" s="14"/>
      <c r="H6" s="14"/>
      <c r="I6" s="14"/>
      <c r="J6" s="14"/>
      <c r="K6" s="14"/>
      <c r="L6" s="15"/>
      <c r="M6" s="57">
        <v>0.05</v>
      </c>
    </row>
    <row r="7" spans="2:13" ht="15" thickBot="1">
      <c r="B7" s="4" t="s">
        <v>33</v>
      </c>
      <c r="C7" s="4"/>
      <c r="D7" s="104">
        <v>62208</v>
      </c>
      <c r="E7" s="104">
        <v>74650</v>
      </c>
      <c r="F7" s="13" t="s">
        <v>59</v>
      </c>
      <c r="G7" s="14"/>
      <c r="H7" s="14"/>
      <c r="I7" s="14"/>
      <c r="J7" s="14"/>
      <c r="K7" s="14"/>
      <c r="L7" s="15"/>
      <c r="M7" s="57">
        <v>0.4</v>
      </c>
    </row>
    <row r="8" spans="6:13" ht="14.25">
      <c r="F8" s="13" t="s">
        <v>60</v>
      </c>
      <c r="G8" s="14"/>
      <c r="H8" s="14"/>
      <c r="I8" s="14"/>
      <c r="J8" s="14"/>
      <c r="K8" s="14"/>
      <c r="L8" s="15"/>
      <c r="M8" s="57">
        <v>0.05</v>
      </c>
    </row>
    <row r="9" spans="6:14" ht="14.25">
      <c r="F9" s="20" t="s">
        <v>61</v>
      </c>
      <c r="G9" s="1"/>
      <c r="H9" s="1"/>
      <c r="I9" s="1"/>
      <c r="J9" s="1"/>
      <c r="K9" s="1"/>
      <c r="L9" s="21"/>
      <c r="M9" s="58">
        <v>0.05</v>
      </c>
      <c r="N9" s="23"/>
    </row>
    <row r="10" spans="2:14" ht="19.5" thickBot="1">
      <c r="B10" s="53"/>
      <c r="F10" s="16" t="s">
        <v>62</v>
      </c>
      <c r="G10" s="17"/>
      <c r="H10" s="17"/>
      <c r="I10" s="17"/>
      <c r="J10" s="17"/>
      <c r="K10" s="17"/>
      <c r="L10" s="18"/>
      <c r="M10" s="59">
        <v>4.8</v>
      </c>
      <c r="N10" s="35"/>
    </row>
    <row r="11" spans="7:14" ht="14.25">
      <c r="G11" s="36"/>
      <c r="H11" s="2"/>
      <c r="I11" s="2"/>
      <c r="J11" s="2"/>
      <c r="K11" s="2"/>
      <c r="L11" s="2"/>
      <c r="M11" s="2"/>
      <c r="N11" s="35"/>
    </row>
    <row r="12" spans="4:14" ht="15" thickBot="1">
      <c r="D12" s="52"/>
      <c r="G12" s="34"/>
      <c r="H12" s="19"/>
      <c r="I12" s="19"/>
      <c r="J12" s="19"/>
      <c r="K12" s="19"/>
      <c r="L12" s="19"/>
      <c r="M12" s="19"/>
      <c r="N12" s="22"/>
    </row>
    <row r="13" spans="2:14" ht="13.5" thickBot="1">
      <c r="B13" s="119" t="s">
        <v>42</v>
      </c>
      <c r="C13" s="119"/>
      <c r="D13" s="119"/>
      <c r="E13" s="119"/>
      <c r="F13" s="119"/>
      <c r="G13" s="120"/>
      <c r="H13" s="120"/>
      <c r="I13" s="120"/>
      <c r="J13" s="120"/>
      <c r="K13" s="120"/>
      <c r="L13" s="120"/>
      <c r="M13" s="120"/>
      <c r="N13" s="120"/>
    </row>
    <row r="14" spans="2:14" ht="13.5" thickBot="1"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3" t="s">
        <v>41</v>
      </c>
    </row>
    <row r="15" spans="2:14" ht="13.5" thickBot="1"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60">
        <v>0</v>
      </c>
      <c r="N15" s="61">
        <v>1</v>
      </c>
    </row>
    <row r="16" spans="2:14" ht="13.5" thickBot="1">
      <c r="B16" s="51">
        <v>0</v>
      </c>
      <c r="C16" s="51">
        <f>$B16+B16</f>
        <v>0</v>
      </c>
      <c r="D16" s="51">
        <f aca="true" t="shared" si="0" ref="D16:L16">$B16+C16</f>
        <v>0</v>
      </c>
      <c r="E16" s="51">
        <f t="shared" si="0"/>
        <v>0</v>
      </c>
      <c r="F16" s="51">
        <f t="shared" si="0"/>
        <v>0</v>
      </c>
      <c r="G16" s="51">
        <f t="shared" si="0"/>
        <v>0</v>
      </c>
      <c r="H16" s="51">
        <f t="shared" si="0"/>
        <v>0</v>
      </c>
      <c r="I16" s="51">
        <f t="shared" si="0"/>
        <v>0</v>
      </c>
      <c r="J16" s="51">
        <f t="shared" si="0"/>
        <v>0</v>
      </c>
      <c r="K16" s="51">
        <f t="shared" si="0"/>
        <v>0</v>
      </c>
      <c r="L16" s="51">
        <f t="shared" si="0"/>
        <v>0</v>
      </c>
      <c r="M16" s="60">
        <v>0</v>
      </c>
      <c r="N16" s="61">
        <v>0.9</v>
      </c>
    </row>
    <row r="17" spans="2:14" ht="13.5" thickBot="1">
      <c r="B17" s="51">
        <v>0</v>
      </c>
      <c r="C17" s="51">
        <f aca="true" t="shared" si="1" ref="C17:L21">$B17+B17</f>
        <v>0</v>
      </c>
      <c r="D17" s="51">
        <f t="shared" si="1"/>
        <v>0</v>
      </c>
      <c r="E17" s="51">
        <f t="shared" si="1"/>
        <v>0</v>
      </c>
      <c r="F17" s="51">
        <f t="shared" si="1"/>
        <v>0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60">
        <v>0</v>
      </c>
      <c r="N17" s="61">
        <v>0.7</v>
      </c>
    </row>
    <row r="18" spans="2:14" ht="13.5" thickBot="1">
      <c r="B18" s="51">
        <v>0</v>
      </c>
      <c r="C18" s="51">
        <f t="shared" si="1"/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60">
        <v>0</v>
      </c>
      <c r="N18" s="61">
        <v>0.5</v>
      </c>
    </row>
    <row r="19" spans="2:14" ht="13.5" thickBot="1">
      <c r="B19" s="51">
        <v>0</v>
      </c>
      <c r="C19" s="51">
        <f t="shared" si="1"/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60">
        <v>0</v>
      </c>
      <c r="N19" s="61">
        <v>0.3</v>
      </c>
    </row>
    <row r="20" spans="2:14" ht="13.5" thickBot="1">
      <c r="B20" s="51">
        <v>0</v>
      </c>
      <c r="C20" s="51">
        <f t="shared" si="1"/>
        <v>0</v>
      </c>
      <c r="D20" s="51">
        <f t="shared" si="1"/>
        <v>0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 t="shared" si="1"/>
        <v>0</v>
      </c>
      <c r="M20" s="60">
        <v>0</v>
      </c>
      <c r="N20" s="61">
        <v>0.1</v>
      </c>
    </row>
    <row r="21" spans="2:14" ht="13.5" thickBot="1">
      <c r="B21" s="51">
        <v>0</v>
      </c>
      <c r="C21" s="51">
        <f t="shared" si="1"/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  <c r="H21" s="51">
        <f t="shared" si="1"/>
        <v>0</v>
      </c>
      <c r="I21" s="51">
        <f t="shared" si="1"/>
        <v>0</v>
      </c>
      <c r="J21" s="51">
        <f t="shared" si="1"/>
        <v>0</v>
      </c>
      <c r="K21" s="51">
        <f t="shared" si="1"/>
        <v>0</v>
      </c>
      <c r="L21" s="51">
        <f t="shared" si="1"/>
        <v>0</v>
      </c>
      <c r="M21" s="60">
        <v>0</v>
      </c>
      <c r="N21" s="61">
        <v>0</v>
      </c>
    </row>
    <row r="22" ht="13.5" thickBot="1">
      <c r="B22" s="8"/>
    </row>
    <row r="23" spans="2:15" ht="13.5" thickBot="1">
      <c r="B23" s="121" t="s">
        <v>44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  <row r="24" spans="2:15" ht="13.5" thickBot="1">
      <c r="B24" s="4" t="s">
        <v>5</v>
      </c>
      <c r="C24" s="4" t="s">
        <v>6</v>
      </c>
      <c r="D24" s="4" t="s">
        <v>7</v>
      </c>
      <c r="E24" s="4" t="s">
        <v>8</v>
      </c>
      <c r="F24" s="4" t="s">
        <v>9</v>
      </c>
      <c r="G24" s="4" t="s">
        <v>10</v>
      </c>
      <c r="H24" s="4" t="s">
        <v>11</v>
      </c>
      <c r="I24" s="4" t="s">
        <v>12</v>
      </c>
      <c r="J24" s="4" t="s">
        <v>13</v>
      </c>
      <c r="K24" s="4" t="s">
        <v>14</v>
      </c>
      <c r="L24" s="4" t="s">
        <v>15</v>
      </c>
      <c r="M24" s="4" t="s">
        <v>16</v>
      </c>
      <c r="N24" s="3" t="s">
        <v>48</v>
      </c>
      <c r="O24" s="3" t="s">
        <v>41</v>
      </c>
    </row>
    <row r="25" spans="2:15" ht="13.5" thickBot="1"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60">
        <v>0</v>
      </c>
      <c r="N25" s="51"/>
      <c r="O25" s="61">
        <v>0.09</v>
      </c>
    </row>
    <row r="26" spans="2:15" ht="13.5" thickBot="1">
      <c r="B26" s="51">
        <f aca="true" t="shared" si="2" ref="B26:B31">M26/12</f>
        <v>833.3333333333334</v>
      </c>
      <c r="C26" s="51">
        <f>$B26+B26</f>
        <v>1666.6666666666667</v>
      </c>
      <c r="D26" s="51">
        <f aca="true" t="shared" si="3" ref="D26:L26">$B26+C26</f>
        <v>2500</v>
      </c>
      <c r="E26" s="51">
        <f t="shared" si="3"/>
        <v>3333.3333333333335</v>
      </c>
      <c r="F26" s="51">
        <f t="shared" si="3"/>
        <v>4166.666666666667</v>
      </c>
      <c r="G26" s="51">
        <f t="shared" si="3"/>
        <v>5000</v>
      </c>
      <c r="H26" s="51">
        <f t="shared" si="3"/>
        <v>5833.333333333333</v>
      </c>
      <c r="I26" s="51">
        <f t="shared" si="3"/>
        <v>6666.666666666666</v>
      </c>
      <c r="J26" s="51">
        <f t="shared" si="3"/>
        <v>7499.999999999999</v>
      </c>
      <c r="K26" s="51">
        <f t="shared" si="3"/>
        <v>8333.333333333332</v>
      </c>
      <c r="L26" s="51">
        <f t="shared" si="3"/>
        <v>9166.666666666666</v>
      </c>
      <c r="M26" s="60">
        <v>10000</v>
      </c>
      <c r="N26" s="51">
        <f aca="true" t="shared" si="4" ref="N26:N31">(M26-M25)*O25+N25</f>
        <v>900</v>
      </c>
      <c r="O26" s="61">
        <v>0.14</v>
      </c>
    </row>
    <row r="27" spans="2:15" ht="13.5" thickBot="1">
      <c r="B27" s="51">
        <f t="shared" si="2"/>
        <v>1666.6666666666667</v>
      </c>
      <c r="C27" s="51">
        <f aca="true" t="shared" si="5" ref="C27:L27">$B27+B27</f>
        <v>3333.3333333333335</v>
      </c>
      <c r="D27" s="51">
        <f t="shared" si="5"/>
        <v>5000</v>
      </c>
      <c r="E27" s="51">
        <f t="shared" si="5"/>
        <v>6666.666666666667</v>
      </c>
      <c r="F27" s="51">
        <f t="shared" si="5"/>
        <v>8333.333333333334</v>
      </c>
      <c r="G27" s="51">
        <f t="shared" si="5"/>
        <v>10000</v>
      </c>
      <c r="H27" s="51">
        <f t="shared" si="5"/>
        <v>11666.666666666666</v>
      </c>
      <c r="I27" s="51">
        <f t="shared" si="5"/>
        <v>13333.333333333332</v>
      </c>
      <c r="J27" s="51">
        <f t="shared" si="5"/>
        <v>14999.999999999998</v>
      </c>
      <c r="K27" s="51">
        <f t="shared" si="5"/>
        <v>16666.666666666664</v>
      </c>
      <c r="L27" s="51">
        <f t="shared" si="5"/>
        <v>18333.333333333332</v>
      </c>
      <c r="M27" s="60">
        <v>20000</v>
      </c>
      <c r="N27" s="51">
        <f t="shared" si="4"/>
        <v>2300</v>
      </c>
      <c r="O27" s="61">
        <v>0.19</v>
      </c>
    </row>
    <row r="28" spans="2:15" ht="13.5" thickBot="1">
      <c r="B28" s="51">
        <f t="shared" si="2"/>
        <v>2500</v>
      </c>
      <c r="C28" s="51">
        <f aca="true" t="shared" si="6" ref="C28:L28">$B28+B28</f>
        <v>5000</v>
      </c>
      <c r="D28" s="51">
        <f t="shared" si="6"/>
        <v>7500</v>
      </c>
      <c r="E28" s="51">
        <f t="shared" si="6"/>
        <v>10000</v>
      </c>
      <c r="F28" s="51">
        <f t="shared" si="6"/>
        <v>12500</v>
      </c>
      <c r="G28" s="51">
        <f t="shared" si="6"/>
        <v>15000</v>
      </c>
      <c r="H28" s="51">
        <f t="shared" si="6"/>
        <v>17500</v>
      </c>
      <c r="I28" s="51">
        <f t="shared" si="6"/>
        <v>20000</v>
      </c>
      <c r="J28" s="51">
        <f t="shared" si="6"/>
        <v>22500</v>
      </c>
      <c r="K28" s="51">
        <f t="shared" si="6"/>
        <v>25000</v>
      </c>
      <c r="L28" s="51">
        <f t="shared" si="6"/>
        <v>27500</v>
      </c>
      <c r="M28" s="60">
        <v>30000</v>
      </c>
      <c r="N28" s="51">
        <f t="shared" si="4"/>
        <v>4200</v>
      </c>
      <c r="O28" s="61">
        <v>0.23</v>
      </c>
    </row>
    <row r="29" spans="2:15" ht="13.5" thickBot="1">
      <c r="B29" s="51">
        <f t="shared" si="2"/>
        <v>5000</v>
      </c>
      <c r="C29" s="51">
        <f aca="true" t="shared" si="7" ref="C29:L29">$B29+B29</f>
        <v>10000</v>
      </c>
      <c r="D29" s="51">
        <f t="shared" si="7"/>
        <v>15000</v>
      </c>
      <c r="E29" s="51">
        <f t="shared" si="7"/>
        <v>20000</v>
      </c>
      <c r="F29" s="51">
        <f t="shared" si="7"/>
        <v>25000</v>
      </c>
      <c r="G29" s="51">
        <f t="shared" si="7"/>
        <v>30000</v>
      </c>
      <c r="H29" s="51">
        <f t="shared" si="7"/>
        <v>35000</v>
      </c>
      <c r="I29" s="51">
        <f t="shared" si="7"/>
        <v>40000</v>
      </c>
      <c r="J29" s="51">
        <f t="shared" si="7"/>
        <v>45000</v>
      </c>
      <c r="K29" s="51">
        <f t="shared" si="7"/>
        <v>50000</v>
      </c>
      <c r="L29" s="51">
        <f t="shared" si="7"/>
        <v>55000</v>
      </c>
      <c r="M29" s="60">
        <v>60000</v>
      </c>
      <c r="N29" s="51">
        <f t="shared" si="4"/>
        <v>11100</v>
      </c>
      <c r="O29" s="61">
        <v>0.27</v>
      </c>
    </row>
    <row r="30" spans="2:15" ht="13.5" thickBot="1">
      <c r="B30" s="51">
        <f t="shared" si="2"/>
        <v>7500</v>
      </c>
      <c r="C30" s="51">
        <f aca="true" t="shared" si="8" ref="C30:L30">$B30+B30</f>
        <v>15000</v>
      </c>
      <c r="D30" s="51">
        <f t="shared" si="8"/>
        <v>22500</v>
      </c>
      <c r="E30" s="51">
        <f t="shared" si="8"/>
        <v>30000</v>
      </c>
      <c r="F30" s="51">
        <f t="shared" si="8"/>
        <v>37500</v>
      </c>
      <c r="G30" s="51">
        <f t="shared" si="8"/>
        <v>45000</v>
      </c>
      <c r="H30" s="51">
        <f t="shared" si="8"/>
        <v>52500</v>
      </c>
      <c r="I30" s="51">
        <f t="shared" si="8"/>
        <v>60000</v>
      </c>
      <c r="J30" s="51">
        <f t="shared" si="8"/>
        <v>67500</v>
      </c>
      <c r="K30" s="51">
        <f t="shared" si="8"/>
        <v>75000</v>
      </c>
      <c r="L30" s="51">
        <f t="shared" si="8"/>
        <v>82500</v>
      </c>
      <c r="M30" s="60">
        <v>90000</v>
      </c>
      <c r="N30" s="51">
        <f t="shared" si="4"/>
        <v>19200</v>
      </c>
      <c r="O30" s="61">
        <v>0.31</v>
      </c>
    </row>
    <row r="31" spans="2:15" ht="13.5" thickBot="1">
      <c r="B31" s="51">
        <f t="shared" si="2"/>
        <v>10000</v>
      </c>
      <c r="C31" s="51">
        <f aca="true" t="shared" si="9" ref="C31:L31">$B31+B31</f>
        <v>20000</v>
      </c>
      <c r="D31" s="51">
        <f t="shared" si="9"/>
        <v>30000</v>
      </c>
      <c r="E31" s="51">
        <f t="shared" si="9"/>
        <v>40000</v>
      </c>
      <c r="F31" s="51">
        <f t="shared" si="9"/>
        <v>50000</v>
      </c>
      <c r="G31" s="51">
        <f t="shared" si="9"/>
        <v>60000</v>
      </c>
      <c r="H31" s="51">
        <f t="shared" si="9"/>
        <v>70000</v>
      </c>
      <c r="I31" s="51">
        <f t="shared" si="9"/>
        <v>80000</v>
      </c>
      <c r="J31" s="51">
        <f t="shared" si="9"/>
        <v>90000</v>
      </c>
      <c r="K31" s="51">
        <f t="shared" si="9"/>
        <v>100000</v>
      </c>
      <c r="L31" s="51">
        <f t="shared" si="9"/>
        <v>110000</v>
      </c>
      <c r="M31" s="60">
        <v>120000</v>
      </c>
      <c r="N31" s="51">
        <f t="shared" si="4"/>
        <v>28500</v>
      </c>
      <c r="O31" s="61">
        <v>0.35</v>
      </c>
    </row>
    <row r="33" ht="15">
      <c r="C33" s="54" t="s">
        <v>87</v>
      </c>
    </row>
    <row r="34" ht="15">
      <c r="C34" s="54" t="s">
        <v>86</v>
      </c>
    </row>
  </sheetData>
  <sheetProtection/>
  <mergeCells count="4">
    <mergeCell ref="B13:N13"/>
    <mergeCell ref="B2:D2"/>
    <mergeCell ref="B23:O23"/>
    <mergeCell ref="F2:M2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Jorgepc</dc:creator>
  <cp:keywords/>
  <dc:description/>
  <cp:lastModifiedBy>Andrea</cp:lastModifiedBy>
  <cp:lastPrinted>2009-11-25T15:03:44Z</cp:lastPrinted>
  <dcterms:created xsi:type="dcterms:W3CDTF">2008-12-26T16:30:48Z</dcterms:created>
  <dcterms:modified xsi:type="dcterms:W3CDTF">2013-06-04T16:16:37Z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